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DE-O-01\GRM-CC_RM_C\Cell\CE_STRESS_IFRS\02_EBA_Benchmarking\Consultation_21042026\"/>
    </mc:Choice>
  </mc:AlternateContent>
  <xr:revisionPtr revIDLastSave="0" documentId="8_{21D1ADB4-306B-41D6-A2BE-46E77B4314B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C 104.00 Loss Rates" sheetId="1" r:id="rId1"/>
    <sheet name="Legend &amp; 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6" i="1" l="1"/>
  <c r="Q78" i="1"/>
  <c r="P78" i="1"/>
  <c r="O78" i="1"/>
  <c r="N78" i="1"/>
  <c r="M78" i="1"/>
  <c r="L78" i="1"/>
  <c r="K78" i="1"/>
  <c r="J78" i="1"/>
  <c r="I78" i="1"/>
  <c r="H78" i="1"/>
  <c r="G78" i="1"/>
  <c r="F78" i="1"/>
  <c r="M77" i="1"/>
  <c r="K77" i="1"/>
  <c r="L77" i="1" s="1"/>
  <c r="J77" i="1"/>
  <c r="Q77" i="1" s="1"/>
  <c r="I77" i="1"/>
  <c r="P77" i="1" s="1"/>
  <c r="H77" i="1"/>
  <c r="O77" i="1" s="1"/>
  <c r="G77" i="1"/>
  <c r="N77" i="1" s="1"/>
  <c r="F77" i="1"/>
  <c r="Q76" i="1"/>
  <c r="O76" i="1"/>
  <c r="N76" i="1"/>
  <c r="L76" i="1"/>
  <c r="K76" i="1"/>
  <c r="J76" i="1"/>
  <c r="I76" i="1"/>
  <c r="P76" i="1" s="1"/>
  <c r="H76" i="1"/>
  <c r="G76" i="1"/>
  <c r="F76" i="1"/>
  <c r="M76" i="1" s="1"/>
  <c r="P75" i="1"/>
  <c r="M75" i="1"/>
  <c r="K75" i="1"/>
  <c r="J75" i="1"/>
  <c r="Q75" i="1" s="1"/>
  <c r="I75" i="1"/>
  <c r="H75" i="1"/>
  <c r="O75" i="1" s="1"/>
  <c r="G75" i="1"/>
  <c r="N75" i="1" s="1"/>
  <c r="F75" i="1"/>
  <c r="Q74" i="1"/>
  <c r="P74" i="1"/>
  <c r="O74" i="1"/>
  <c r="N74" i="1"/>
  <c r="M74" i="1"/>
  <c r="L74" i="1"/>
  <c r="K74" i="1"/>
  <c r="J74" i="1"/>
  <c r="I74" i="1"/>
  <c r="I80" i="1" s="1"/>
  <c r="I81" i="1" s="1"/>
  <c r="H74" i="1"/>
  <c r="H80" i="1" s="1"/>
  <c r="H81" i="1" s="1"/>
  <c r="G74" i="1"/>
  <c r="G80" i="1" s="1"/>
  <c r="G81" i="1" s="1"/>
  <c r="F74" i="1"/>
  <c r="M71" i="1"/>
  <c r="K71" i="1"/>
  <c r="L71" i="1" s="1"/>
  <c r="J71" i="1"/>
  <c r="Q71" i="1" s="1"/>
  <c r="I71" i="1"/>
  <c r="P71" i="1" s="1"/>
  <c r="H71" i="1"/>
  <c r="O71" i="1" s="1"/>
  <c r="G71" i="1"/>
  <c r="N71" i="1" s="1"/>
  <c r="F71" i="1"/>
  <c r="Q66" i="1"/>
  <c r="O66" i="1"/>
  <c r="N66" i="1"/>
  <c r="L66" i="1"/>
  <c r="K66" i="1"/>
  <c r="J66" i="1"/>
  <c r="I66" i="1"/>
  <c r="P66" i="1" s="1"/>
  <c r="H66" i="1"/>
  <c r="G66" i="1"/>
  <c r="F66" i="1"/>
  <c r="M66" i="1" s="1"/>
  <c r="L51" i="1"/>
  <c r="K51" i="1"/>
  <c r="J51" i="1"/>
  <c r="I51" i="1"/>
  <c r="H51" i="1"/>
  <c r="G51" i="1"/>
  <c r="F51" i="1"/>
  <c r="M51" i="1" s="1"/>
  <c r="L50" i="1"/>
  <c r="K50" i="1"/>
  <c r="J50" i="1"/>
  <c r="I50" i="1"/>
  <c r="H50" i="1"/>
  <c r="G50" i="1"/>
  <c r="F50" i="1"/>
  <c r="M50" i="1" s="1"/>
  <c r="L49" i="1"/>
  <c r="K49" i="1"/>
  <c r="J49" i="1"/>
  <c r="I49" i="1"/>
  <c r="H49" i="1"/>
  <c r="G49" i="1"/>
  <c r="F49" i="1"/>
  <c r="M49" i="1" s="1"/>
  <c r="L48" i="1"/>
  <c r="K48" i="1"/>
  <c r="J48" i="1"/>
  <c r="I48" i="1"/>
  <c r="H48" i="1"/>
  <c r="G48" i="1"/>
  <c r="F48" i="1"/>
  <c r="M48" i="1" s="1"/>
  <c r="L47" i="1"/>
  <c r="K47" i="1"/>
  <c r="K55" i="1" s="1"/>
  <c r="J47" i="1"/>
  <c r="J55" i="1" s="1"/>
  <c r="I47" i="1"/>
  <c r="I55" i="1" s="1"/>
  <c r="H47" i="1"/>
  <c r="H55" i="1" s="1"/>
  <c r="G47" i="1"/>
  <c r="G55" i="1" s="1"/>
  <c r="F47" i="1"/>
  <c r="L46" i="1"/>
  <c r="K46" i="1"/>
  <c r="K54" i="1" s="1"/>
  <c r="J46" i="1"/>
  <c r="J54" i="1" s="1"/>
  <c r="I46" i="1"/>
  <c r="I54" i="1" s="1"/>
  <c r="H46" i="1"/>
  <c r="H54" i="1" s="1"/>
  <c r="G46" i="1"/>
  <c r="G54" i="1" s="1"/>
  <c r="L43" i="1"/>
  <c r="K43" i="1"/>
  <c r="J43" i="1"/>
  <c r="I43" i="1"/>
  <c r="H43" i="1"/>
  <c r="G43" i="1"/>
  <c r="F43" i="1"/>
  <c r="M43" i="1" s="1"/>
  <c r="L42" i="1"/>
  <c r="K42" i="1"/>
  <c r="J42" i="1"/>
  <c r="I42" i="1"/>
  <c r="H42" i="1"/>
  <c r="G42" i="1"/>
  <c r="F42" i="1"/>
  <c r="M42" i="1" s="1"/>
  <c r="L41" i="1"/>
  <c r="K41" i="1"/>
  <c r="J41" i="1"/>
  <c r="I41" i="1"/>
  <c r="H41" i="1"/>
  <c r="G41" i="1"/>
  <c r="F41" i="1"/>
  <c r="M41" i="1" s="1"/>
  <c r="L40" i="1"/>
  <c r="K40" i="1"/>
  <c r="J40" i="1"/>
  <c r="I40" i="1"/>
  <c r="H40" i="1"/>
  <c r="G40" i="1"/>
  <c r="F40" i="1"/>
  <c r="M40" i="1" s="1"/>
  <c r="M27" i="1"/>
  <c r="K27" i="1"/>
  <c r="L27" i="1" s="1"/>
  <c r="J27" i="1"/>
  <c r="I27" i="1"/>
  <c r="H27" i="1"/>
  <c r="G27" i="1"/>
  <c r="F27" i="1"/>
  <c r="M24" i="1"/>
  <c r="K24" i="1"/>
  <c r="K32" i="1" s="1"/>
  <c r="J24" i="1"/>
  <c r="J32" i="1" s="1"/>
  <c r="I24" i="1"/>
  <c r="H24" i="1"/>
  <c r="G24" i="1"/>
  <c r="F24" i="1"/>
  <c r="M21" i="1"/>
  <c r="M28" i="1" s="1"/>
  <c r="K21" i="1"/>
  <c r="K28" i="1" s="1"/>
  <c r="J21" i="1"/>
  <c r="I21" i="1"/>
  <c r="I28" i="1" s="1"/>
  <c r="P28" i="1" s="1"/>
  <c r="H21" i="1"/>
  <c r="H28" i="1" s="1"/>
  <c r="G21" i="1"/>
  <c r="G28" i="1" s="1"/>
  <c r="F21" i="1"/>
  <c r="F28" i="1" s="1"/>
  <c r="L16" i="1"/>
  <c r="K16" i="1"/>
  <c r="J16" i="1"/>
  <c r="J33" i="1" s="1"/>
  <c r="I16" i="1"/>
  <c r="I33" i="1" s="1"/>
  <c r="H16" i="1"/>
  <c r="H33" i="1" s="1"/>
  <c r="O33" i="1" s="1"/>
  <c r="G16" i="1"/>
  <c r="G33" i="1" s="1"/>
  <c r="N33" i="1" s="1"/>
  <c r="F16" i="1"/>
  <c r="L13" i="1"/>
  <c r="K13" i="1"/>
  <c r="J13" i="1"/>
  <c r="Q32" i="1" s="1"/>
  <c r="I13" i="1"/>
  <c r="I32" i="1" s="1"/>
  <c r="H13" i="1"/>
  <c r="H32" i="1" s="1"/>
  <c r="G13" i="1"/>
  <c r="G32" i="1" s="1"/>
  <c r="F13" i="1"/>
  <c r="M13" i="1" s="1"/>
  <c r="L10" i="1"/>
  <c r="K10" i="1"/>
  <c r="J10" i="1"/>
  <c r="J31" i="1" s="1"/>
  <c r="I10" i="1"/>
  <c r="I17" i="1" s="1"/>
  <c r="H10" i="1"/>
  <c r="H31" i="1" s="1"/>
  <c r="G10" i="1"/>
  <c r="G17" i="1" s="1"/>
  <c r="N17" i="1" s="1"/>
  <c r="F10" i="1"/>
  <c r="J35" i="1" l="1"/>
  <c r="Q80" i="1"/>
  <c r="L17" i="1"/>
  <c r="O31" i="1"/>
  <c r="H35" i="1"/>
  <c r="L55" i="1"/>
  <c r="L54" i="1"/>
  <c r="M55" i="1"/>
  <c r="Q33" i="1"/>
  <c r="H57" i="1"/>
  <c r="L80" i="1"/>
  <c r="L81" i="1" s="1"/>
  <c r="M31" i="1"/>
  <c r="Q28" i="1"/>
  <c r="F55" i="1"/>
  <c r="K80" i="1"/>
  <c r="K81" i="1" s="1"/>
  <c r="H17" i="1"/>
  <c r="O17" i="1" s="1"/>
  <c r="P17" i="1"/>
  <c r="L21" i="1"/>
  <c r="L28" i="1" s="1"/>
  <c r="L24" i="1"/>
  <c r="L32" i="1" s="1"/>
  <c r="P33" i="1"/>
  <c r="L75" i="1"/>
  <c r="I31" i="1"/>
  <c r="M32" i="1"/>
  <c r="J17" i="1"/>
  <c r="Q17" i="1" s="1"/>
  <c r="N28" i="1"/>
  <c r="F32" i="1"/>
  <c r="N32" i="1"/>
  <c r="F80" i="1"/>
  <c r="F81" i="1" s="1"/>
  <c r="N80" i="1"/>
  <c r="G31" i="1"/>
  <c r="Q31" i="1"/>
  <c r="Q35" i="1" s="1"/>
  <c r="K17" i="1"/>
  <c r="O28" i="1"/>
  <c r="K31" i="1"/>
  <c r="O32" i="1"/>
  <c r="O35" i="1" s="1"/>
  <c r="K33" i="1"/>
  <c r="L33" i="1" s="1"/>
  <c r="O80" i="1"/>
  <c r="F17" i="1"/>
  <c r="J28" i="1"/>
  <c r="F33" i="1"/>
  <c r="F54" i="1"/>
  <c r="J80" i="1"/>
  <c r="J81" i="1" s="1"/>
  <c r="P32" i="1"/>
  <c r="P80" i="1"/>
  <c r="F31" i="1"/>
  <c r="M10" i="1"/>
  <c r="M16" i="1"/>
  <c r="M33" i="1" s="1"/>
  <c r="M46" i="1"/>
  <c r="M54" i="1" s="1"/>
  <c r="M47" i="1"/>
  <c r="L31" i="1" l="1"/>
  <c r="L35" i="1" s="1"/>
  <c r="J36" i="1"/>
  <c r="M17" i="1"/>
  <c r="I35" i="1"/>
  <c r="M80" i="1"/>
  <c r="M81" i="1" s="1"/>
  <c r="H36" i="1"/>
  <c r="J57" i="1"/>
  <c r="G35" i="1"/>
  <c r="N31" i="1"/>
  <c r="N35" i="1" s="1"/>
  <c r="F35" i="1"/>
  <c r="F36" i="1" s="1"/>
  <c r="P31" i="1"/>
  <c r="P35" i="1" s="1"/>
  <c r="K35" i="1"/>
  <c r="L36" i="1" l="1"/>
  <c r="L57" i="1"/>
  <c r="M35" i="1"/>
  <c r="I36" i="1"/>
  <c r="I57" i="1"/>
  <c r="G36" i="1"/>
  <c r="G57" i="1"/>
  <c r="F57" i="1"/>
  <c r="K36" i="1"/>
  <c r="K57" i="1"/>
  <c r="M36" i="1" l="1"/>
  <c r="M57" i="1"/>
</calcChain>
</file>

<file path=xl/sharedStrings.xml><?xml version="1.0" encoding="utf-8"?>
<sst xmlns="http://schemas.openxmlformats.org/spreadsheetml/2006/main" count="272" uniqueCount="73">
  <si>
    <t>C 104.00 - LOSS RATES TEMPLATE  |  EBA Benchmarking Exercise  |  Reference Date: 31 December 2027</t>
  </si>
  <si>
    <t>Scope: Facilities that entered default in the last 15 years (2012-2026) and whose recovery process concluded within the year before the reference date (i.e., within 2027). LGD Model ID / LGD Bucket are populated only for AIRB/SLSC classes (A10-A47, S30); FIRB classes (F-series) always use 'No model' / 'L99'. Columns 0071-0074 are populated ONLY on rows where LGD Bucket (col 0031) = L99, per the instructions.</t>
  </si>
  <si>
    <t>0010</t>
  </si>
  <si>
    <t>0015</t>
  </si>
  <si>
    <t>0020</t>
  </si>
  <si>
    <t>0030</t>
  </si>
  <si>
    <t>0031</t>
  </si>
  <si>
    <t>0040</t>
  </si>
  <si>
    <t>0041</t>
  </si>
  <si>
    <t>0042</t>
  </si>
  <si>
    <t>0043</t>
  </si>
  <si>
    <t>0044</t>
  </si>
  <si>
    <t>0050</t>
  </si>
  <si>
    <t>0060</t>
  </si>
  <si>
    <t>0070</t>
  </si>
  <si>
    <t>0071</t>
  </si>
  <si>
    <t>0072</t>
  </si>
  <si>
    <t>0073</t>
  </si>
  <si>
    <t>0074</t>
  </si>
  <si>
    <t>Exposure Class</t>
  </si>
  <si>
    <t>Geographical Area</t>
  </si>
  <si>
    <t>Year of Default</t>
  </si>
  <si>
    <t>LGD Model ID</t>
  </si>
  <si>
    <t>LGD Bucket</t>
  </si>
  <si>
    <t>No. of Facilities</t>
  </si>
  <si>
    <t>No. Concluded: Cured</t>
  </si>
  <si>
    <t>No. Concluded: Repossession</t>
  </si>
  <si>
    <t>No. Concluded: Write-off</t>
  </si>
  <si>
    <t>No. Concluded: Disposals</t>
  </si>
  <si>
    <t>EAD at Migration to Default (EUR)</t>
  </si>
  <si>
    <t>EAD-Weighted Avg Realised LGD (0060)</t>
  </si>
  <si>
    <t>Number-Weighted Avg Realised LGD (0070)</t>
  </si>
  <si>
    <t>Avg LGD - Cured (0071)</t>
  </si>
  <si>
    <t>Avg LGD - Repossession (0072)</t>
  </si>
  <si>
    <t>Avg LGD - Write-off (0073)</t>
  </si>
  <si>
    <t>Avg LGD - Disposals (0074)</t>
  </si>
  <si>
    <t>A40</t>
  </si>
  <si>
    <t>DE</t>
  </si>
  <si>
    <t>L01</t>
  </si>
  <si>
    <t>L02</t>
  </si>
  <si>
    <t>L99</t>
  </si>
  <si>
    <t>FR</t>
  </si>
  <si>
    <t>Total by Year of Default - All Countries (Geographical Area = YY), Bucket = L99 (sums DE + FR for each individual year)</t>
  </si>
  <si>
    <t>YY</t>
  </si>
  <si>
    <t>Cross-check (should be 0): Grand total via YEAR-path minus COUNTRY-path (DE Total + FR Total)</t>
  </si>
  <si>
    <t>Country Totals by LGD Bucket, across years (Year=9998, specific bucket) - completes the 'country x bucket' tier</t>
  </si>
  <si>
    <t>Year Totals by LGD Bucket, all countries (Geo=YY, specific Year, specific Bucket) - completes the 'geo x bucket' tier</t>
  </si>
  <si>
    <t>Grand Totals by LGD Bucket, all countries &amp; years (Geo=YY, Year=9998, specific Bucket) - completes the final tier</t>
  </si>
  <si>
    <t>Cross-check #2 (should be 0): (Grand L01 + Grand L02) minus Grand L99 - validates the bucket tier ties to the original grand total</t>
  </si>
  <si>
    <t>SCENARIO 2 | FIRB | Exposure Class F32 - Foundation IRB Corporates General (Midsize) | Model: 'No model' (FIRB never has an LGD model) | LGD Bucket always L99 (no bucket split for FIRB) | Countries: DE, FR | Demonstrates roll-up: year -&gt; country total -&gt; grand total (YY)</t>
  </si>
  <si>
    <t>F32</t>
  </si>
  <si>
    <t>No model</t>
  </si>
  <si>
    <t>Total by Year of Default - All Countries (Geographical Area = YY), Bucket = L99 (DE-only for 2020/2024 since FR has no exposure those years; DE+FR for 2021-2023)</t>
  </si>
  <si>
    <t>COLOR LEGEND</t>
  </si>
  <si>
    <t>Blue text = hardcoded illustrative input (facility-level source data)</t>
  </si>
  <si>
    <t>Black text = formula (SUM / weighted-average roll-up, calculated from the rows above)</t>
  </si>
  <si>
    <t>Orange fill = country-level total (Year of Default = 9998, LGD Bucket = L99) - total across YEARS for one country</t>
  </si>
  <si>
    <t>Green fill = year-level total across countries (Geographical Area = YY, specific Year, Bucket = L99) - total across COUNTRIES for one year</t>
  </si>
  <si>
    <t>Dark orange/bold = grand total across all reported countries and years (Geographical Area = YY, Year = 9998, Bucket = L99)</t>
  </si>
  <si>
    <t>KEY DESIGN NOTES</t>
  </si>
  <si>
    <t>1. Columns 0071-0074 (avg realised LGD by resolution type) are populated ONLY on LGD Bucket = L99 rows, per the instructions ('This information shall be provided only for the value L99 of column 0031'). L01/L02 bucket rows leave these blank.</t>
  </si>
  <si>
    <t>2. Every L99 row's counts, EAD, and weighted-average LGDs (cols 0040-0070) are FORMULAS that roll up from its L01/L02 components - not independently chosen numbers - so col 0060/0070 always ties out exactly to its constituent buckets.</t>
  </si>
  <si>
    <t>3. Country-total rows (Year=9998) are formulas summing/weight-averaging the individual-year L99 rows for that country - not independent illustrative figures.</t>
  </si>
  <si>
    <t>4. The grand total row (Geographical Area = YY, Year = 9998, Bucket = L99) is a formula summing DE total + FR total. This assumes DE and FR are the ONLY geographies with exposure in this exposure class - if other, immaterial countries existed (per the 1% materiality rule), YY would be their total too, not just DE+FR combined; that's a modelling choice specific to this illustration, not a general rule.</t>
  </si>
  <si>
    <t>5. LGD Bucket (col 0031) reflects the MODEL's ex-ante LGD estimate at the start of the year before default. The realised LGD columns (0060/0070) reflect ACTUAL post-recovery outcomes. They are conceptually distinct and can differ - the roll-up formulas here only guarantee col 0060/0070 tie out to their own components, not that col 0060 will equal the LGD Bucket midpoint.</t>
  </si>
  <si>
    <t>6. FIRB (F32): LGD Model ID is always 'No model' and LGD Bucket is always 'L99' (no bucket split), but Geographical Area and Year of Default are still split normally - this is the core AIRB-vs-FIRB distinction discussed.</t>
  </si>
  <si>
    <t>7. Facility-count checksums (0041+0042+0043+0044 = 0040) hold on every hardcoded input row by construction.</t>
  </si>
  <si>
    <t>8. NEW - Total by Year of Default, all countries (green rows): for each individual year, a Geo=YY/Bucket=L99 row sums DE + FR for that year. In Scenario 2 (FIRB), FR has no exposure in 2020 or 2024, so those YY rows simply equal DE's value for that year (formula still references the cell, it just has nothing to add).</t>
  </si>
  <si>
    <t>9. NEW - Cross-check row (grey italic): the grand total can be derived two mathematically independent ways - (a) sum/weight-average the per-YEAR-across-countries rows [this sheet's primary path], or (b) sum/weight-average the per-COUNTRY-across-years total rows. Both paths MUST produce the same number for a correctly-built cube; the cross-check row computes path (a) minus path (b) and should show 0 (or 0.00000000 for the LGD % columns) everywhere. If you edit any input cell, re-run this check.</t>
  </si>
  <si>
    <t>10. COMPLETED: the full 36-row cube (Geo x Year x Bucket, each with a total code) is now built for Scenario 1 (A40). Yellow rows are the 3 previously-missing tiers: country totals by bucket (DE-L01/L02, FR-L01/L02), year totals by bucket across countries (YY x each year x each bucket), and grand totals by bucket (YY x 9998 x L01/L02). A second cross-check row confirms (Grand L01 + Grand L02) = the original Grand L99 total.</t>
  </si>
  <si>
    <t>11. Scenario 2 (FIRB, F32) does NOT get this treatment because bucket is fixed at L99 for FIRB - there is no bucket dimension to expand, so its cube is only Geo x Year (already fully built: leaf rows, country totals, year-across-countries totals, grand total).</t>
  </si>
  <si>
    <t>LGD_RET</t>
  </si>
  <si>
    <t>SCENARIO 1 | AIRB | Exposure Class A40 - Retail Secured by Residential Real Estate | Model: LGD_RET (same model, both countries) | Countries: DE, FR | Demonstrates full roll-up: bucket -&gt; year -&gt; country total -&gt; grand total (YY)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</si>
</sst>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sz val="11"/>
      <color rgb="FF000000"/>
      <name val="Arial"/>
      <charset val="1"/>
    </font>
    <font>
      <b/>
      <sz val="11"/>
      <color rgb="FF000000"/>
      <name val="Arial"/>
      <charset val="1"/>
    </font>
    <font>
      <sz val="11"/>
      <color rgb="FF0000FF"/>
      <name val="Arial"/>
      <charset val="1"/>
    </font>
    <font>
      <sz val="11"/>
      <color rgb="FF808080"/>
      <name val="Arial"/>
      <charset val="1"/>
    </font>
    <font>
      <b/>
      <sz val="12"/>
      <name val="Cambria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C6E0B4"/>
        <bgColor rgb="FFD9E1F2"/>
      </patternFill>
    </fill>
    <fill>
      <patternFill patternType="solid">
        <fgColor rgb="FFF8CBAD"/>
        <bgColor rgb="FFFCE4D6"/>
      </patternFill>
    </fill>
    <fill>
      <patternFill patternType="solid">
        <fgColor rgb="FFFFF2CC"/>
        <bgColor rgb="FFFCE4D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3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10" fontId="2" fillId="4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10" fontId="2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10" fontId="3" fillId="6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3" fontId="2" fillId="7" borderId="1" xfId="0" applyNumberFormat="1" applyFont="1" applyFill="1" applyBorder="1" applyAlignment="1">
      <alignment horizontal="center"/>
    </xf>
    <xf numFmtId="10" fontId="2" fillId="7" borderId="1" xfId="0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CE4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1"/>
  <sheetViews>
    <sheetView tabSelected="1" zoomScaleNormal="100" workbookViewId="0">
      <pane ySplit="5" topLeftCell="A6" activePane="bottomLeft" state="frozen"/>
      <selection pane="bottomLeft" activeCell="A9" sqref="A9"/>
    </sheetView>
  </sheetViews>
  <sheetFormatPr defaultColWidth="8.6328125" defaultRowHeight="14.5" x14ac:dyDescent="0.35"/>
  <cols>
    <col min="1" max="1" width="18.54296875" customWidth="1"/>
    <col min="2" max="2" width="18.08984375" bestFit="1" customWidth="1"/>
    <col min="3" max="3" width="14.6328125" bestFit="1" customWidth="1"/>
    <col min="4" max="4" width="13.81640625" bestFit="1" customWidth="1"/>
    <col min="5" max="5" width="12.08984375" bestFit="1" customWidth="1"/>
    <col min="6" max="6" width="15" bestFit="1" customWidth="1"/>
    <col min="7" max="7" width="21.6328125" bestFit="1" customWidth="1"/>
    <col min="8" max="8" width="29.36328125" bestFit="1" customWidth="1"/>
    <col min="9" max="9" width="23.90625" bestFit="1" customWidth="1"/>
    <col min="10" max="10" width="25.1796875" bestFit="1" customWidth="1"/>
    <col min="11" max="11" width="32.26953125" bestFit="1" customWidth="1"/>
    <col min="12" max="12" width="38.6328125" bestFit="1" customWidth="1"/>
    <col min="13" max="13" width="41.90625" bestFit="1" customWidth="1"/>
    <col min="14" max="14" width="23.08984375" bestFit="1" customWidth="1"/>
    <col min="15" max="15" width="30.81640625" bestFit="1" customWidth="1"/>
    <col min="16" max="16" width="25.453125" bestFit="1" customWidth="1"/>
    <col min="17" max="17" width="26.6328125" bestFit="1" customWidth="1"/>
  </cols>
  <sheetData>
    <row r="1" spans="1:17" ht="19.5" customHeight="1" x14ac:dyDescent="0.3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42" customHeight="1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spans="1:17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x14ac:dyDescent="0.35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29</v>
      </c>
      <c r="L5" s="5" t="s">
        <v>30</v>
      </c>
      <c r="M5" s="5" t="s">
        <v>31</v>
      </c>
      <c r="N5" s="5" t="s">
        <v>32</v>
      </c>
      <c r="O5" s="5" t="s">
        <v>33</v>
      </c>
      <c r="P5" s="5" t="s">
        <v>34</v>
      </c>
      <c r="Q5" s="5" t="s">
        <v>35</v>
      </c>
    </row>
    <row r="7" spans="1:17" x14ac:dyDescent="0.35">
      <c r="A7" s="1" t="s">
        <v>72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A8" s="6" t="s">
        <v>36</v>
      </c>
      <c r="B8" s="7" t="s">
        <v>37</v>
      </c>
      <c r="C8" s="7">
        <v>2022</v>
      </c>
      <c r="D8" s="7" t="s">
        <v>71</v>
      </c>
      <c r="E8" s="7" t="s">
        <v>38</v>
      </c>
      <c r="F8" s="7">
        <v>120</v>
      </c>
      <c r="G8" s="7">
        <v>95</v>
      </c>
      <c r="H8" s="7">
        <v>12</v>
      </c>
      <c r="I8" s="7">
        <v>8</v>
      </c>
      <c r="J8" s="7">
        <v>5</v>
      </c>
      <c r="K8" s="8">
        <v>14500000</v>
      </c>
      <c r="L8" s="9">
        <v>4.2000000000000003E-2</v>
      </c>
      <c r="M8" s="9">
        <v>3.7999999999999999E-2</v>
      </c>
      <c r="N8" s="9"/>
      <c r="O8" s="9"/>
      <c r="P8" s="9"/>
      <c r="Q8" s="9"/>
    </row>
    <row r="9" spans="1:17" x14ac:dyDescent="0.35">
      <c r="A9" s="6" t="s">
        <v>36</v>
      </c>
      <c r="B9" s="7" t="s">
        <v>37</v>
      </c>
      <c r="C9" s="7">
        <v>2022</v>
      </c>
      <c r="D9" s="7" t="s">
        <v>71</v>
      </c>
      <c r="E9" s="7" t="s">
        <v>39</v>
      </c>
      <c r="F9" s="7">
        <v>45</v>
      </c>
      <c r="G9" s="7">
        <v>28</v>
      </c>
      <c r="H9" s="7">
        <v>10</v>
      </c>
      <c r="I9" s="7">
        <v>4</v>
      </c>
      <c r="J9" s="7">
        <v>3</v>
      </c>
      <c r="K9" s="8">
        <v>6200000</v>
      </c>
      <c r="L9" s="9">
        <v>0.13500000000000001</v>
      </c>
      <c r="M9" s="9">
        <v>0.128</v>
      </c>
      <c r="N9" s="9"/>
      <c r="O9" s="9"/>
      <c r="P9" s="9"/>
      <c r="Q9" s="9"/>
    </row>
    <row r="10" spans="1:17" x14ac:dyDescent="0.35">
      <c r="A10" s="10" t="s">
        <v>36</v>
      </c>
      <c r="B10" s="11" t="s">
        <v>37</v>
      </c>
      <c r="C10" s="11">
        <v>2022</v>
      </c>
      <c r="D10" s="11" t="s">
        <v>71</v>
      </c>
      <c r="E10" s="11" t="s">
        <v>40</v>
      </c>
      <c r="F10" s="11">
        <f t="shared" ref="F10:K10" si="0">SUM(F8:F9)</f>
        <v>165</v>
      </c>
      <c r="G10" s="11">
        <f t="shared" si="0"/>
        <v>123</v>
      </c>
      <c r="H10" s="11">
        <f t="shared" si="0"/>
        <v>22</v>
      </c>
      <c r="I10" s="11">
        <f t="shared" si="0"/>
        <v>12</v>
      </c>
      <c r="J10" s="11">
        <f t="shared" si="0"/>
        <v>8</v>
      </c>
      <c r="K10" s="12">
        <f t="shared" si="0"/>
        <v>20700000</v>
      </c>
      <c r="L10" s="13">
        <f>SUMPRODUCT(K8:K9,L8:L9)/K10</f>
        <v>6.9855072463768111E-2</v>
      </c>
      <c r="M10" s="13">
        <f>SUMPRODUCT(F8:F9,M8:M9)/F10</f>
        <v>6.2545454545454543E-2</v>
      </c>
      <c r="N10" s="13">
        <v>1.0999999999999999E-2</v>
      </c>
      <c r="O10" s="13">
        <v>0.255</v>
      </c>
      <c r="P10" s="13">
        <v>0.86499999999999999</v>
      </c>
      <c r="Q10" s="13">
        <v>0.63500000000000001</v>
      </c>
    </row>
    <row r="11" spans="1:17" x14ac:dyDescent="0.35">
      <c r="A11" s="6" t="s">
        <v>36</v>
      </c>
      <c r="B11" s="7" t="s">
        <v>37</v>
      </c>
      <c r="C11" s="7">
        <v>2023</v>
      </c>
      <c r="D11" s="7" t="s">
        <v>71</v>
      </c>
      <c r="E11" s="7" t="s">
        <v>38</v>
      </c>
      <c r="F11" s="7">
        <v>98</v>
      </c>
      <c r="G11" s="7">
        <v>78</v>
      </c>
      <c r="H11" s="7">
        <v>9</v>
      </c>
      <c r="I11" s="7">
        <v>7</v>
      </c>
      <c r="J11" s="7">
        <v>4</v>
      </c>
      <c r="K11" s="8">
        <v>12100000</v>
      </c>
      <c r="L11" s="9">
        <v>3.7999999999999999E-2</v>
      </c>
      <c r="M11" s="9">
        <v>3.5999999999999997E-2</v>
      </c>
      <c r="N11" s="9"/>
      <c r="O11" s="9"/>
      <c r="P11" s="9"/>
      <c r="Q11" s="9"/>
    </row>
    <row r="12" spans="1:17" x14ac:dyDescent="0.35">
      <c r="A12" s="6" t="s">
        <v>36</v>
      </c>
      <c r="B12" s="7" t="s">
        <v>37</v>
      </c>
      <c r="C12" s="7">
        <v>2023</v>
      </c>
      <c r="D12" s="7" t="s">
        <v>71</v>
      </c>
      <c r="E12" s="7" t="s">
        <v>39</v>
      </c>
      <c r="F12" s="7">
        <v>38</v>
      </c>
      <c r="G12" s="7">
        <v>23</v>
      </c>
      <c r="H12" s="7">
        <v>8</v>
      </c>
      <c r="I12" s="7">
        <v>5</v>
      </c>
      <c r="J12" s="7">
        <v>2</v>
      </c>
      <c r="K12" s="8">
        <v>5400000</v>
      </c>
      <c r="L12" s="9">
        <v>0.129</v>
      </c>
      <c r="M12" s="9">
        <v>0.121</v>
      </c>
      <c r="N12" s="9"/>
      <c r="O12" s="9"/>
      <c r="P12" s="9"/>
      <c r="Q12" s="9"/>
    </row>
    <row r="13" spans="1:17" x14ac:dyDescent="0.35">
      <c r="A13" s="10" t="s">
        <v>36</v>
      </c>
      <c r="B13" s="11" t="s">
        <v>37</v>
      </c>
      <c r="C13" s="11">
        <v>2023</v>
      </c>
      <c r="D13" s="11" t="s">
        <v>71</v>
      </c>
      <c r="E13" s="11" t="s">
        <v>40</v>
      </c>
      <c r="F13" s="11">
        <f t="shared" ref="F13:K13" si="1">SUM(F11:F12)</f>
        <v>136</v>
      </c>
      <c r="G13" s="11">
        <f t="shared" si="1"/>
        <v>101</v>
      </c>
      <c r="H13" s="11">
        <f t="shared" si="1"/>
        <v>17</v>
      </c>
      <c r="I13" s="11">
        <f t="shared" si="1"/>
        <v>12</v>
      </c>
      <c r="J13" s="11">
        <f t="shared" si="1"/>
        <v>6</v>
      </c>
      <c r="K13" s="12">
        <f t="shared" si="1"/>
        <v>17500000</v>
      </c>
      <c r="L13" s="13">
        <f>SUMPRODUCT(K11:K12,L11:L12)/K13</f>
        <v>6.608E-2</v>
      </c>
      <c r="M13" s="13">
        <f>SUMPRODUCT(F11:F12,M11:M12)/F13</f>
        <v>5.9749999999999998E-2</v>
      </c>
      <c r="N13" s="13">
        <v>0.01</v>
      </c>
      <c r="O13" s="13">
        <v>0.24299999999999999</v>
      </c>
      <c r="P13" s="13">
        <v>0.85799999999999998</v>
      </c>
      <c r="Q13" s="13">
        <v>0.628</v>
      </c>
    </row>
    <row r="14" spans="1:17" x14ac:dyDescent="0.35">
      <c r="A14" s="6" t="s">
        <v>36</v>
      </c>
      <c r="B14" s="7" t="s">
        <v>37</v>
      </c>
      <c r="C14" s="7">
        <v>2024</v>
      </c>
      <c r="D14" s="7" t="s">
        <v>71</v>
      </c>
      <c r="E14" s="7" t="s">
        <v>38</v>
      </c>
      <c r="F14" s="7">
        <v>74</v>
      </c>
      <c r="G14" s="7">
        <v>58</v>
      </c>
      <c r="H14" s="7">
        <v>8</v>
      </c>
      <c r="I14" s="7">
        <v>5</v>
      </c>
      <c r="J14" s="7">
        <v>3</v>
      </c>
      <c r="K14" s="8">
        <v>9200000</v>
      </c>
      <c r="L14" s="9">
        <v>4.1000000000000002E-2</v>
      </c>
      <c r="M14" s="9">
        <v>0.04</v>
      </c>
      <c r="N14" s="9"/>
      <c r="O14" s="9"/>
      <c r="P14" s="9"/>
      <c r="Q14" s="9"/>
    </row>
    <row r="15" spans="1:17" x14ac:dyDescent="0.35">
      <c r="A15" s="6" t="s">
        <v>36</v>
      </c>
      <c r="B15" s="7" t="s">
        <v>37</v>
      </c>
      <c r="C15" s="7">
        <v>2024</v>
      </c>
      <c r="D15" s="7" t="s">
        <v>71</v>
      </c>
      <c r="E15" s="7" t="s">
        <v>39</v>
      </c>
      <c r="F15" s="7">
        <v>29</v>
      </c>
      <c r="G15" s="7">
        <v>17</v>
      </c>
      <c r="H15" s="7">
        <v>7</v>
      </c>
      <c r="I15" s="7">
        <v>3</v>
      </c>
      <c r="J15" s="7">
        <v>2</v>
      </c>
      <c r="K15" s="8">
        <v>4100000</v>
      </c>
      <c r="L15" s="9">
        <v>0.13100000000000001</v>
      </c>
      <c r="M15" s="9">
        <v>0.125</v>
      </c>
      <c r="N15" s="9"/>
      <c r="O15" s="9"/>
      <c r="P15" s="9"/>
      <c r="Q15" s="9"/>
    </row>
    <row r="16" spans="1:17" x14ac:dyDescent="0.35">
      <c r="A16" s="10" t="s">
        <v>36</v>
      </c>
      <c r="B16" s="11" t="s">
        <v>37</v>
      </c>
      <c r="C16" s="11">
        <v>2024</v>
      </c>
      <c r="D16" s="11" t="s">
        <v>71</v>
      </c>
      <c r="E16" s="11" t="s">
        <v>40</v>
      </c>
      <c r="F16" s="11">
        <f t="shared" ref="F16:K16" si="2">SUM(F14:F15)</f>
        <v>103</v>
      </c>
      <c r="G16" s="11">
        <f t="shared" si="2"/>
        <v>75</v>
      </c>
      <c r="H16" s="11">
        <f t="shared" si="2"/>
        <v>15</v>
      </c>
      <c r="I16" s="11">
        <f t="shared" si="2"/>
        <v>8</v>
      </c>
      <c r="J16" s="11">
        <f t="shared" si="2"/>
        <v>5</v>
      </c>
      <c r="K16" s="12">
        <f t="shared" si="2"/>
        <v>13300000</v>
      </c>
      <c r="L16" s="13">
        <f>SUMPRODUCT(K14:K15,L14:L15)/K16</f>
        <v>6.8744360902255636E-2</v>
      </c>
      <c r="M16" s="13">
        <f>SUMPRODUCT(F14:F15,M14:M15)/F16</f>
        <v>6.3932038834951452E-2</v>
      </c>
      <c r="N16" s="13">
        <v>1.0500000000000001E-2</v>
      </c>
      <c r="O16" s="13">
        <v>0.25</v>
      </c>
      <c r="P16" s="13">
        <v>0.86299999999999999</v>
      </c>
      <c r="Q16" s="13">
        <v>0.629</v>
      </c>
    </row>
    <row r="17" spans="1:17" x14ac:dyDescent="0.35">
      <c r="A17" s="10" t="s">
        <v>36</v>
      </c>
      <c r="B17" s="11" t="s">
        <v>37</v>
      </c>
      <c r="C17" s="11">
        <v>9998</v>
      </c>
      <c r="D17" s="11" t="s">
        <v>71</v>
      </c>
      <c r="E17" s="11" t="s">
        <v>40</v>
      </c>
      <c r="F17" s="11">
        <f t="shared" ref="F17:K17" si="3">F10+F13+F16</f>
        <v>404</v>
      </c>
      <c r="G17" s="11">
        <f t="shared" si="3"/>
        <v>299</v>
      </c>
      <c r="H17" s="11">
        <f t="shared" si="3"/>
        <v>54</v>
      </c>
      <c r="I17" s="11">
        <f t="shared" si="3"/>
        <v>32</v>
      </c>
      <c r="J17" s="11">
        <f t="shared" si="3"/>
        <v>19</v>
      </c>
      <c r="K17" s="12">
        <f t="shared" si="3"/>
        <v>51500000</v>
      </c>
      <c r="L17" s="13">
        <f>(K10*L10+K13*L13+K16*L16)/K17</f>
        <v>6.8285436893203877E-2</v>
      </c>
      <c r="M17" s="13">
        <f>(F10*M10+F13*M13+F16*M16)/F17</f>
        <v>6.1957920792079207E-2</v>
      </c>
      <c r="N17" s="13">
        <f>(G10*N10+G13*N13+G16*N16)/G17</f>
        <v>1.0536789297658862E-2</v>
      </c>
      <c r="O17" s="13">
        <f>(H10*O10+H13*O13+H16*O16)/H17</f>
        <v>0.24983333333333332</v>
      </c>
      <c r="P17" s="13">
        <f>(I10*P10+I13*P13+I16*P16)/I17</f>
        <v>0.86187499999999995</v>
      </c>
      <c r="Q17" s="13">
        <f>(J10*Q10+J13*Q13+J16*Q16)/J17</f>
        <v>0.63121052631578944</v>
      </c>
    </row>
    <row r="19" spans="1:17" x14ac:dyDescent="0.35">
      <c r="A19" s="6" t="s">
        <v>36</v>
      </c>
      <c r="B19" s="7" t="s">
        <v>41</v>
      </c>
      <c r="C19" s="7">
        <v>2022</v>
      </c>
      <c r="D19" s="7" t="s">
        <v>71</v>
      </c>
      <c r="E19" s="7" t="s">
        <v>38</v>
      </c>
      <c r="F19" s="7">
        <v>60</v>
      </c>
      <c r="G19" s="7">
        <v>40</v>
      </c>
      <c r="H19" s="7">
        <v>7</v>
      </c>
      <c r="I19" s="7">
        <v>9</v>
      </c>
      <c r="J19" s="7">
        <v>4</v>
      </c>
      <c r="K19" s="8">
        <v>7800000</v>
      </c>
      <c r="L19" s="9">
        <v>5.5E-2</v>
      </c>
      <c r="M19" s="9">
        <v>5.1999999999999998E-2</v>
      </c>
      <c r="N19" s="9"/>
      <c r="O19" s="9"/>
      <c r="P19" s="9"/>
      <c r="Q19" s="9"/>
    </row>
    <row r="20" spans="1:17" x14ac:dyDescent="0.35">
      <c r="A20" s="6" t="s">
        <v>36</v>
      </c>
      <c r="B20" s="7" t="s">
        <v>41</v>
      </c>
      <c r="C20" s="7">
        <v>2022</v>
      </c>
      <c r="D20" s="7" t="s">
        <v>71</v>
      </c>
      <c r="E20" s="7" t="s">
        <v>39</v>
      </c>
      <c r="F20" s="7">
        <v>22</v>
      </c>
      <c r="G20" s="7">
        <v>10</v>
      </c>
      <c r="H20" s="7">
        <v>5</v>
      </c>
      <c r="I20" s="7">
        <v>5</v>
      </c>
      <c r="J20" s="7">
        <v>2</v>
      </c>
      <c r="K20" s="8">
        <v>3100000</v>
      </c>
      <c r="L20" s="9">
        <v>0.14799999999999999</v>
      </c>
      <c r="M20" s="9">
        <v>0.14199999999999999</v>
      </c>
      <c r="N20" s="9"/>
      <c r="O20" s="9"/>
      <c r="P20" s="9"/>
      <c r="Q20" s="9"/>
    </row>
    <row r="21" spans="1:17" x14ac:dyDescent="0.35">
      <c r="A21" s="10" t="s">
        <v>36</v>
      </c>
      <c r="B21" s="11" t="s">
        <v>41</v>
      </c>
      <c r="C21" s="11">
        <v>2022</v>
      </c>
      <c r="D21" s="11" t="s">
        <v>71</v>
      </c>
      <c r="E21" s="11" t="s">
        <v>40</v>
      </c>
      <c r="F21" s="11">
        <f t="shared" ref="F21:K21" si="4">SUM(F19:F20)</f>
        <v>82</v>
      </c>
      <c r="G21" s="11">
        <f t="shared" si="4"/>
        <v>50</v>
      </c>
      <c r="H21" s="11">
        <f t="shared" si="4"/>
        <v>12</v>
      </c>
      <c r="I21" s="11">
        <f t="shared" si="4"/>
        <v>14</v>
      </c>
      <c r="J21" s="11">
        <f t="shared" si="4"/>
        <v>6</v>
      </c>
      <c r="K21" s="12">
        <f t="shared" si="4"/>
        <v>10900000</v>
      </c>
      <c r="L21" s="13">
        <f>SUMPRODUCT(K19:K20,L19:L20)/K21</f>
        <v>8.1449541284403668E-2</v>
      </c>
      <c r="M21" s="13">
        <f>SUMPRODUCT(F19:F20,M19:M20)/F21</f>
        <v>7.6146341463414632E-2</v>
      </c>
      <c r="N21" s="13">
        <v>1.2E-2</v>
      </c>
      <c r="O21" s="13">
        <v>0.3</v>
      </c>
      <c r="P21" s="13">
        <v>0.9</v>
      </c>
      <c r="Q21" s="13">
        <v>0.66</v>
      </c>
    </row>
    <row r="22" spans="1:17" x14ac:dyDescent="0.35">
      <c r="A22" s="6" t="s">
        <v>36</v>
      </c>
      <c r="B22" s="7" t="s">
        <v>41</v>
      </c>
      <c r="C22" s="7">
        <v>2023</v>
      </c>
      <c r="D22" s="7" t="s">
        <v>71</v>
      </c>
      <c r="E22" s="7" t="s">
        <v>38</v>
      </c>
      <c r="F22" s="7">
        <v>52</v>
      </c>
      <c r="G22" s="7">
        <v>35</v>
      </c>
      <c r="H22" s="7">
        <v>6</v>
      </c>
      <c r="I22" s="7">
        <v>7</v>
      </c>
      <c r="J22" s="7">
        <v>4</v>
      </c>
      <c r="K22" s="8">
        <v>6700000</v>
      </c>
      <c r="L22" s="9">
        <v>5.0999999999999997E-2</v>
      </c>
      <c r="M22" s="9">
        <v>4.9000000000000002E-2</v>
      </c>
      <c r="N22" s="9"/>
      <c r="O22" s="9"/>
      <c r="P22" s="9"/>
      <c r="Q22" s="9"/>
    </row>
    <row r="23" spans="1:17" x14ac:dyDescent="0.35">
      <c r="A23" s="6" t="s">
        <v>36</v>
      </c>
      <c r="B23" s="7" t="s">
        <v>41</v>
      </c>
      <c r="C23" s="7">
        <v>2023</v>
      </c>
      <c r="D23" s="7" t="s">
        <v>71</v>
      </c>
      <c r="E23" s="7" t="s">
        <v>39</v>
      </c>
      <c r="F23" s="7">
        <v>19</v>
      </c>
      <c r="G23" s="7">
        <v>9</v>
      </c>
      <c r="H23" s="7">
        <v>4</v>
      </c>
      <c r="I23" s="7">
        <v>4</v>
      </c>
      <c r="J23" s="7">
        <v>2</v>
      </c>
      <c r="K23" s="8">
        <v>2650000</v>
      </c>
      <c r="L23" s="9">
        <v>0.14499999999999999</v>
      </c>
      <c r="M23" s="9">
        <v>0.13900000000000001</v>
      </c>
      <c r="N23" s="9"/>
      <c r="O23" s="9"/>
      <c r="P23" s="9"/>
      <c r="Q23" s="9"/>
    </row>
    <row r="24" spans="1:17" x14ac:dyDescent="0.35">
      <c r="A24" s="10" t="s">
        <v>36</v>
      </c>
      <c r="B24" s="11" t="s">
        <v>41</v>
      </c>
      <c r="C24" s="11">
        <v>2023</v>
      </c>
      <c r="D24" s="11" t="s">
        <v>71</v>
      </c>
      <c r="E24" s="11" t="s">
        <v>40</v>
      </c>
      <c r="F24" s="11">
        <f t="shared" ref="F24:K24" si="5">SUM(F22:F23)</f>
        <v>71</v>
      </c>
      <c r="G24" s="11">
        <f t="shared" si="5"/>
        <v>44</v>
      </c>
      <c r="H24" s="11">
        <f t="shared" si="5"/>
        <v>10</v>
      </c>
      <c r="I24" s="11">
        <f t="shared" si="5"/>
        <v>11</v>
      </c>
      <c r="J24" s="11">
        <f t="shared" si="5"/>
        <v>6</v>
      </c>
      <c r="K24" s="12">
        <f t="shared" si="5"/>
        <v>9350000</v>
      </c>
      <c r="L24" s="13">
        <f>SUMPRODUCT(K22:K23,L22:L23)/K24</f>
        <v>7.7641711229946522E-2</v>
      </c>
      <c r="M24" s="13">
        <f>SUMPRODUCT(F22:F23,M22:M23)/F24</f>
        <v>7.3084507042253527E-2</v>
      </c>
      <c r="N24" s="13">
        <v>1.0999999999999999E-2</v>
      </c>
      <c r="O24" s="13">
        <v>0.28999999999999998</v>
      </c>
      <c r="P24" s="13">
        <v>0.89500000000000002</v>
      </c>
      <c r="Q24" s="13">
        <v>0.65500000000000003</v>
      </c>
    </row>
    <row r="25" spans="1:17" x14ac:dyDescent="0.35">
      <c r="A25" s="6" t="s">
        <v>36</v>
      </c>
      <c r="B25" s="7" t="s">
        <v>41</v>
      </c>
      <c r="C25" s="7">
        <v>2024</v>
      </c>
      <c r="D25" s="7" t="s">
        <v>71</v>
      </c>
      <c r="E25" s="7" t="s">
        <v>38</v>
      </c>
      <c r="F25" s="7">
        <v>45</v>
      </c>
      <c r="G25" s="7">
        <v>29</v>
      </c>
      <c r="H25" s="7">
        <v>5</v>
      </c>
      <c r="I25" s="7">
        <v>7</v>
      </c>
      <c r="J25" s="7">
        <v>4</v>
      </c>
      <c r="K25" s="8">
        <v>5900000</v>
      </c>
      <c r="L25" s="9">
        <v>4.9000000000000002E-2</v>
      </c>
      <c r="M25" s="9">
        <v>4.7E-2</v>
      </c>
      <c r="N25" s="9"/>
      <c r="O25" s="9"/>
      <c r="P25" s="9"/>
      <c r="Q25" s="9"/>
    </row>
    <row r="26" spans="1:17" x14ac:dyDescent="0.35">
      <c r="A26" s="6" t="s">
        <v>36</v>
      </c>
      <c r="B26" s="7" t="s">
        <v>41</v>
      </c>
      <c r="C26" s="7">
        <v>2024</v>
      </c>
      <c r="D26" s="7" t="s">
        <v>71</v>
      </c>
      <c r="E26" s="7" t="s">
        <v>39</v>
      </c>
      <c r="F26" s="7">
        <v>16</v>
      </c>
      <c r="G26" s="7">
        <v>7</v>
      </c>
      <c r="H26" s="7">
        <v>4</v>
      </c>
      <c r="I26" s="7">
        <v>3</v>
      </c>
      <c r="J26" s="7">
        <v>2</v>
      </c>
      <c r="K26" s="8">
        <v>2200000</v>
      </c>
      <c r="L26" s="9">
        <v>0.14099999999999999</v>
      </c>
      <c r="M26" s="9">
        <v>0.13600000000000001</v>
      </c>
      <c r="N26" s="9"/>
      <c r="O26" s="9"/>
      <c r="P26" s="9"/>
      <c r="Q26" s="9"/>
    </row>
    <row r="27" spans="1:17" x14ac:dyDescent="0.35">
      <c r="A27" s="10" t="s">
        <v>36</v>
      </c>
      <c r="B27" s="11" t="s">
        <v>41</v>
      </c>
      <c r="C27" s="11">
        <v>2024</v>
      </c>
      <c r="D27" s="11" t="s">
        <v>71</v>
      </c>
      <c r="E27" s="11" t="s">
        <v>40</v>
      </c>
      <c r="F27" s="11">
        <f t="shared" ref="F27:K27" si="6">SUM(F25:F26)</f>
        <v>61</v>
      </c>
      <c r="G27" s="11">
        <f t="shared" si="6"/>
        <v>36</v>
      </c>
      <c r="H27" s="11">
        <f t="shared" si="6"/>
        <v>9</v>
      </c>
      <c r="I27" s="11">
        <f t="shared" si="6"/>
        <v>10</v>
      </c>
      <c r="J27" s="11">
        <f t="shared" si="6"/>
        <v>6</v>
      </c>
      <c r="K27" s="12">
        <f t="shared" si="6"/>
        <v>8100000</v>
      </c>
      <c r="L27" s="13">
        <f>SUMPRODUCT(K25:K26,L25:L26)/K27</f>
        <v>7.3987654320987653E-2</v>
      </c>
      <c r="M27" s="13">
        <f>SUMPRODUCT(F25:F26,M25:M26)/F27</f>
        <v>7.0344262295081977E-2</v>
      </c>
      <c r="N27" s="13">
        <v>1.0500000000000001E-2</v>
      </c>
      <c r="O27" s="13">
        <v>0.28499999999999998</v>
      </c>
      <c r="P27" s="13">
        <v>0.89</v>
      </c>
      <c r="Q27" s="13">
        <v>0.65</v>
      </c>
    </row>
    <row r="28" spans="1:17" x14ac:dyDescent="0.35">
      <c r="A28" s="10" t="s">
        <v>36</v>
      </c>
      <c r="B28" s="11" t="s">
        <v>41</v>
      </c>
      <c r="C28" s="11">
        <v>9998</v>
      </c>
      <c r="D28" s="11" t="s">
        <v>71</v>
      </c>
      <c r="E28" s="11" t="s">
        <v>40</v>
      </c>
      <c r="F28" s="11">
        <f t="shared" ref="F28:K28" si="7">F21+F24+F27</f>
        <v>214</v>
      </c>
      <c r="G28" s="11">
        <f t="shared" si="7"/>
        <v>130</v>
      </c>
      <c r="H28" s="11">
        <f t="shared" si="7"/>
        <v>31</v>
      </c>
      <c r="I28" s="11">
        <f t="shared" si="7"/>
        <v>35</v>
      </c>
      <c r="J28" s="11">
        <f t="shared" si="7"/>
        <v>18</v>
      </c>
      <c r="K28" s="12">
        <f t="shared" si="7"/>
        <v>28350000</v>
      </c>
      <c r="L28" s="13">
        <f>(K21*L21+K24*L24+K27*L27)/K28</f>
        <v>7.806172839506173E-2</v>
      </c>
      <c r="M28" s="13">
        <f>(F21*M21+F24*M24+F27*M27)/F28</f>
        <v>7.3476635514018687E-2</v>
      </c>
      <c r="N28" s="13">
        <f>(G21*N21+G24*N24+G27*N27)/G28</f>
        <v>1.1246153846153848E-2</v>
      </c>
      <c r="O28" s="13">
        <f>(H21*O21+H24*O24+H27*O27)/H28</f>
        <v>0.29241935483870968</v>
      </c>
      <c r="P28" s="13">
        <f>(I21*P21+I24*P24+I27*P27)/I28</f>
        <v>0.89557142857142857</v>
      </c>
      <c r="Q28" s="13">
        <f>(J21*Q21+J24*Q24+J27*Q27)/J28</f>
        <v>0.65500000000000003</v>
      </c>
    </row>
    <row r="30" spans="1:17" x14ac:dyDescent="0.35">
      <c r="A30" s="1" t="s">
        <v>42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35">
      <c r="A31" s="14" t="s">
        <v>36</v>
      </c>
      <c r="B31" s="15" t="s">
        <v>43</v>
      </c>
      <c r="C31" s="15">
        <v>2022</v>
      </c>
      <c r="D31" s="15" t="s">
        <v>71</v>
      </c>
      <c r="E31" s="15" t="s">
        <v>40</v>
      </c>
      <c r="F31" s="15">
        <f t="shared" ref="F31:K31" si="8">F10+F21</f>
        <v>247</v>
      </c>
      <c r="G31" s="15">
        <f t="shared" si="8"/>
        <v>173</v>
      </c>
      <c r="H31" s="15">
        <f t="shared" si="8"/>
        <v>34</v>
      </c>
      <c r="I31" s="15">
        <f t="shared" si="8"/>
        <v>26</v>
      </c>
      <c r="J31" s="15">
        <f t="shared" si="8"/>
        <v>14</v>
      </c>
      <c r="K31" s="16">
        <f t="shared" si="8"/>
        <v>31600000</v>
      </c>
      <c r="L31" s="17">
        <f>(K10*L10+K21*L21)/K31</f>
        <v>7.385443037974683E-2</v>
      </c>
      <c r="M31" s="17">
        <f>(F10*M10+F21*M21)/F31</f>
        <v>6.7060728744939277E-2</v>
      </c>
      <c r="N31" s="17">
        <f>(G10*N10+G21*N21)/G31</f>
        <v>1.1289017341040462E-2</v>
      </c>
      <c r="O31" s="17">
        <f>(H10*O10+H21*O21)/H31</f>
        <v>0.27088235294117652</v>
      </c>
      <c r="P31" s="17">
        <f>(I10*P10+I21*P21)/I31</f>
        <v>0.88384615384615373</v>
      </c>
      <c r="Q31" s="17">
        <f>(J10*Q10+J21*Q21)/J31</f>
        <v>0.64571428571428569</v>
      </c>
    </row>
    <row r="32" spans="1:17" x14ac:dyDescent="0.35">
      <c r="A32" s="14" t="s">
        <v>36</v>
      </c>
      <c r="B32" s="15" t="s">
        <v>43</v>
      </c>
      <c r="C32" s="15">
        <v>2023</v>
      </c>
      <c r="D32" s="15" t="s">
        <v>71</v>
      </c>
      <c r="E32" s="15" t="s">
        <v>40</v>
      </c>
      <c r="F32" s="15">
        <f t="shared" ref="F32:K32" si="9">F13+F24</f>
        <v>207</v>
      </c>
      <c r="G32" s="15">
        <f t="shared" si="9"/>
        <v>145</v>
      </c>
      <c r="H32" s="15">
        <f t="shared" si="9"/>
        <v>27</v>
      </c>
      <c r="I32" s="15">
        <f t="shared" si="9"/>
        <v>23</v>
      </c>
      <c r="J32" s="15">
        <f t="shared" si="9"/>
        <v>12</v>
      </c>
      <c r="K32" s="16">
        <f t="shared" si="9"/>
        <v>26850000</v>
      </c>
      <c r="L32" s="17">
        <f>(K13*L13+K24*L24)/K32</f>
        <v>7.0106145251396648E-2</v>
      </c>
      <c r="M32" s="17">
        <f>(F13*M13+F24*M24)/F32</f>
        <v>6.4323671497584542E-2</v>
      </c>
      <c r="N32" s="17">
        <f>(G13*N13+G24*N24)/G32</f>
        <v>1.0303448275862069E-2</v>
      </c>
      <c r="O32" s="17">
        <f>(H13*O13+H24*O24)/H32</f>
        <v>0.26040740740740742</v>
      </c>
      <c r="P32" s="17">
        <f>(I13*P13+I24*P24)/I32</f>
        <v>0.87569565217391299</v>
      </c>
      <c r="Q32" s="17">
        <f>(J13*Q13+J24*Q24)/J32</f>
        <v>0.64150000000000007</v>
      </c>
    </row>
    <row r="33" spans="1:17" x14ac:dyDescent="0.35">
      <c r="A33" s="14" t="s">
        <v>36</v>
      </c>
      <c r="B33" s="15" t="s">
        <v>43</v>
      </c>
      <c r="C33" s="15">
        <v>2024</v>
      </c>
      <c r="D33" s="15" t="s">
        <v>71</v>
      </c>
      <c r="E33" s="15" t="s">
        <v>40</v>
      </c>
      <c r="F33" s="15">
        <f t="shared" ref="F33:K33" si="10">F16+F27</f>
        <v>164</v>
      </c>
      <c r="G33" s="15">
        <f t="shared" si="10"/>
        <v>111</v>
      </c>
      <c r="H33" s="15">
        <f t="shared" si="10"/>
        <v>24</v>
      </c>
      <c r="I33" s="15">
        <f t="shared" si="10"/>
        <v>18</v>
      </c>
      <c r="J33" s="15">
        <f t="shared" si="10"/>
        <v>11</v>
      </c>
      <c r="K33" s="16">
        <f t="shared" si="10"/>
        <v>21400000</v>
      </c>
      <c r="L33" s="17">
        <f>(K16*L16+K27*L27)/K33</f>
        <v>7.0728971962616821E-2</v>
      </c>
      <c r="M33" s="17">
        <f>(F16*M16+F27*M27)/F33</f>
        <v>6.6317073170731711E-2</v>
      </c>
      <c r="N33" s="17">
        <f>(G16*N16+G27*N27)/G33</f>
        <v>1.0500000000000002E-2</v>
      </c>
      <c r="O33" s="17">
        <f>(H16*O16+H27*O27)/H33</f>
        <v>0.263125</v>
      </c>
      <c r="P33" s="17">
        <f>(I16*P16+I27*P27)/I33</f>
        <v>0.878</v>
      </c>
      <c r="Q33" s="17">
        <f>(J16*Q16+J27*Q27)/J33</f>
        <v>0.6404545454545455</v>
      </c>
    </row>
    <row r="35" spans="1:17" x14ac:dyDescent="0.35">
      <c r="A35" s="18" t="s">
        <v>36</v>
      </c>
      <c r="B35" s="19" t="s">
        <v>43</v>
      </c>
      <c r="C35" s="19">
        <v>9998</v>
      </c>
      <c r="D35" s="19" t="s">
        <v>71</v>
      </c>
      <c r="E35" s="19" t="s">
        <v>40</v>
      </c>
      <c r="F35" s="19">
        <f t="shared" ref="F35:K35" si="11">F31+F32+F33</f>
        <v>618</v>
      </c>
      <c r="G35" s="19">
        <f t="shared" si="11"/>
        <v>429</v>
      </c>
      <c r="H35" s="19">
        <f t="shared" si="11"/>
        <v>85</v>
      </c>
      <c r="I35" s="19">
        <f t="shared" si="11"/>
        <v>67</v>
      </c>
      <c r="J35" s="19">
        <f t="shared" si="11"/>
        <v>37</v>
      </c>
      <c r="K35" s="20">
        <f t="shared" si="11"/>
        <v>79850000</v>
      </c>
      <c r="L35" s="21">
        <f>(K31*L31+K32*L32+K33*L33)/K35</f>
        <v>7.175641828428303E-2</v>
      </c>
      <c r="M35" s="21">
        <f>(F31*M31+F32*M32+F33*M33)/F35</f>
        <v>6.5946601941747562E-2</v>
      </c>
      <c r="N35" s="21">
        <f>(G31*N31+G32*N32+G33*N33)/G35</f>
        <v>1.0751748251748253E-2</v>
      </c>
      <c r="O35" s="21">
        <f>(H31*O31+H32*O32+H33*O33)/H35</f>
        <v>0.26536470588235289</v>
      </c>
      <c r="P35" s="21">
        <f>(I31*P31+I32*P32+I33*P33)/I35</f>
        <v>0.8794776119402985</v>
      </c>
      <c r="Q35" s="21">
        <f>(J31*Q31+J32*Q32+J33*Q33)/J35</f>
        <v>0.64278378378378387</v>
      </c>
    </row>
    <row r="36" spans="1:17" x14ac:dyDescent="0.35">
      <c r="A36" s="22" t="s">
        <v>44</v>
      </c>
      <c r="B36" s="23"/>
      <c r="C36" s="23"/>
      <c r="D36" s="23"/>
      <c r="E36" s="23"/>
      <c r="F36" s="23">
        <f t="shared" ref="F36:K36" si="12">F35-(F17+F28)</f>
        <v>0</v>
      </c>
      <c r="G36" s="23">
        <f t="shared" si="12"/>
        <v>0</v>
      </c>
      <c r="H36" s="23">
        <f t="shared" si="12"/>
        <v>0</v>
      </c>
      <c r="I36" s="23">
        <f t="shared" si="12"/>
        <v>0</v>
      </c>
      <c r="J36" s="23">
        <f t="shared" si="12"/>
        <v>0</v>
      </c>
      <c r="K36" s="23">
        <f t="shared" si="12"/>
        <v>0</v>
      </c>
      <c r="L36" s="23">
        <f>ROUND(L35-((K17*L17+K28*L28)/K35),8)</f>
        <v>0</v>
      </c>
      <c r="M36" s="23">
        <f>ROUND(M35-((F17*M17+F28*M28)/F35),8)</f>
        <v>0</v>
      </c>
      <c r="N36" s="23"/>
      <c r="O36" s="23"/>
      <c r="P36" s="23"/>
      <c r="Q36" s="23"/>
    </row>
    <row r="39" spans="1:17" x14ac:dyDescent="0.35">
      <c r="A39" s="1" t="s">
        <v>45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35">
      <c r="A40" s="24" t="s">
        <v>36</v>
      </c>
      <c r="B40" s="25" t="s">
        <v>37</v>
      </c>
      <c r="C40" s="25">
        <v>9998</v>
      </c>
      <c r="D40" s="25" t="s">
        <v>71</v>
      </c>
      <c r="E40" s="25" t="s">
        <v>38</v>
      </c>
      <c r="F40" s="25">
        <f t="shared" ref="F40:K41" si="13">F8+F11+F14</f>
        <v>292</v>
      </c>
      <c r="G40" s="25">
        <f t="shared" si="13"/>
        <v>231</v>
      </c>
      <c r="H40" s="25">
        <f t="shared" si="13"/>
        <v>29</v>
      </c>
      <c r="I40" s="25">
        <f t="shared" si="13"/>
        <v>20</v>
      </c>
      <c r="J40" s="25">
        <f t="shared" si="13"/>
        <v>12</v>
      </c>
      <c r="K40" s="26">
        <f t="shared" si="13"/>
        <v>35800000</v>
      </c>
      <c r="L40" s="27">
        <f>(K8*L8+K11*L11+K14*L14)/K40</f>
        <v>4.039106145251397E-2</v>
      </c>
      <c r="M40" s="27">
        <f>(F8*M8+F11*M11+F14*M14)/F40</f>
        <v>3.7835616438356159E-2</v>
      </c>
      <c r="N40" s="27"/>
      <c r="O40" s="27"/>
      <c r="P40" s="27"/>
      <c r="Q40" s="27"/>
    </row>
    <row r="41" spans="1:17" x14ac:dyDescent="0.35">
      <c r="A41" s="24" t="s">
        <v>36</v>
      </c>
      <c r="B41" s="25" t="s">
        <v>37</v>
      </c>
      <c r="C41" s="25">
        <v>9998</v>
      </c>
      <c r="D41" s="25" t="s">
        <v>71</v>
      </c>
      <c r="E41" s="25" t="s">
        <v>39</v>
      </c>
      <c r="F41" s="25">
        <f t="shared" si="13"/>
        <v>112</v>
      </c>
      <c r="G41" s="25">
        <f t="shared" si="13"/>
        <v>68</v>
      </c>
      <c r="H41" s="25">
        <f t="shared" si="13"/>
        <v>25</v>
      </c>
      <c r="I41" s="25">
        <f t="shared" si="13"/>
        <v>12</v>
      </c>
      <c r="J41" s="25">
        <f t="shared" si="13"/>
        <v>7</v>
      </c>
      <c r="K41" s="26">
        <f t="shared" si="13"/>
        <v>15700000</v>
      </c>
      <c r="L41" s="27">
        <f>(K9*L9+K12*L12+K15*L15)/K41</f>
        <v>0.13189171974522293</v>
      </c>
      <c r="M41" s="27">
        <f>(F9*M9+F12*M12+F15*M15)/F41</f>
        <v>0.12484821428571428</v>
      </c>
      <c r="N41" s="27"/>
      <c r="O41" s="27"/>
      <c r="P41" s="27"/>
      <c r="Q41" s="27"/>
    </row>
    <row r="42" spans="1:17" x14ac:dyDescent="0.35">
      <c r="A42" s="24" t="s">
        <v>36</v>
      </c>
      <c r="B42" s="25" t="s">
        <v>41</v>
      </c>
      <c r="C42" s="25">
        <v>9998</v>
      </c>
      <c r="D42" s="25" t="s">
        <v>71</v>
      </c>
      <c r="E42" s="25" t="s">
        <v>38</v>
      </c>
      <c r="F42" s="25">
        <f t="shared" ref="F42:K43" si="14">F19+F22+F25</f>
        <v>157</v>
      </c>
      <c r="G42" s="25">
        <f t="shared" si="14"/>
        <v>104</v>
      </c>
      <c r="H42" s="25">
        <f t="shared" si="14"/>
        <v>18</v>
      </c>
      <c r="I42" s="25">
        <f t="shared" si="14"/>
        <v>23</v>
      </c>
      <c r="J42" s="25">
        <f t="shared" si="14"/>
        <v>12</v>
      </c>
      <c r="K42" s="26">
        <f t="shared" si="14"/>
        <v>20400000</v>
      </c>
      <c r="L42" s="27">
        <f>(K19*L19+K22*L22+K25*L25)/K42</f>
        <v>5.1950980392156863E-2</v>
      </c>
      <c r="M42" s="27">
        <f>(F19*M19+F22*M22+F25*M25)/F42</f>
        <v>4.9573248407643308E-2</v>
      </c>
      <c r="N42" s="27"/>
      <c r="O42" s="27"/>
      <c r="P42" s="27"/>
      <c r="Q42" s="27"/>
    </row>
    <row r="43" spans="1:17" x14ac:dyDescent="0.35">
      <c r="A43" s="24" t="s">
        <v>36</v>
      </c>
      <c r="B43" s="25" t="s">
        <v>41</v>
      </c>
      <c r="C43" s="25">
        <v>9998</v>
      </c>
      <c r="D43" s="25" t="s">
        <v>71</v>
      </c>
      <c r="E43" s="25" t="s">
        <v>39</v>
      </c>
      <c r="F43" s="25">
        <f t="shared" si="14"/>
        <v>57</v>
      </c>
      <c r="G43" s="25">
        <f t="shared" si="14"/>
        <v>26</v>
      </c>
      <c r="H43" s="25">
        <f t="shared" si="14"/>
        <v>13</v>
      </c>
      <c r="I43" s="25">
        <f t="shared" si="14"/>
        <v>12</v>
      </c>
      <c r="J43" s="25">
        <f t="shared" si="14"/>
        <v>6</v>
      </c>
      <c r="K43" s="26">
        <f t="shared" si="14"/>
        <v>7950000</v>
      </c>
      <c r="L43" s="27">
        <f>(K20*L20+K23*L23+K26*L26)/K43</f>
        <v>0.14506289308176101</v>
      </c>
      <c r="M43" s="27">
        <f>(F20*M20+F23*M23+F26*M26)/F43</f>
        <v>0.1393157894736842</v>
      </c>
      <c r="N43" s="27"/>
      <c r="O43" s="27"/>
      <c r="P43" s="27"/>
      <c r="Q43" s="27"/>
    </row>
    <row r="45" spans="1:17" x14ac:dyDescent="0.35">
      <c r="A45" s="1" t="s">
        <v>46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x14ac:dyDescent="0.35">
      <c r="A46" s="24" t="s">
        <v>36</v>
      </c>
      <c r="B46" s="25" t="s">
        <v>43</v>
      </c>
      <c r="C46" s="25">
        <v>2022</v>
      </c>
      <c r="D46" s="25" t="s">
        <v>71</v>
      </c>
      <c r="E46" s="25" t="s">
        <v>38</v>
      </c>
      <c r="F46" s="25">
        <f>F8+F19</f>
        <v>180</v>
      </c>
      <c r="G46" s="25">
        <f t="shared" ref="F46:K47" si="15">G8+G19</f>
        <v>135</v>
      </c>
      <c r="H46" s="25">
        <f t="shared" si="15"/>
        <v>19</v>
      </c>
      <c r="I46" s="25">
        <f t="shared" si="15"/>
        <v>17</v>
      </c>
      <c r="J46" s="25">
        <f t="shared" si="15"/>
        <v>9</v>
      </c>
      <c r="K46" s="26">
        <f t="shared" si="15"/>
        <v>22300000</v>
      </c>
      <c r="L46" s="27">
        <f>(K8*L8+K19*L19)/K46</f>
        <v>4.6547085201793723E-2</v>
      </c>
      <c r="M46" s="27">
        <f>(F8*M8+F19*M19)/F46</f>
        <v>4.2666666666666665E-2</v>
      </c>
      <c r="N46" s="27"/>
      <c r="O46" s="27"/>
      <c r="P46" s="27"/>
      <c r="Q46" s="27"/>
    </row>
    <row r="47" spans="1:17" x14ac:dyDescent="0.35">
      <c r="A47" s="24" t="s">
        <v>36</v>
      </c>
      <c r="B47" s="25" t="s">
        <v>43</v>
      </c>
      <c r="C47" s="25">
        <v>2022</v>
      </c>
      <c r="D47" s="25" t="s">
        <v>71</v>
      </c>
      <c r="E47" s="25" t="s">
        <v>39</v>
      </c>
      <c r="F47" s="25">
        <f t="shared" si="15"/>
        <v>67</v>
      </c>
      <c r="G47" s="25">
        <f t="shared" si="15"/>
        <v>38</v>
      </c>
      <c r="H47" s="25">
        <f t="shared" si="15"/>
        <v>15</v>
      </c>
      <c r="I47" s="25">
        <f t="shared" si="15"/>
        <v>9</v>
      </c>
      <c r="J47" s="25">
        <f t="shared" si="15"/>
        <v>5</v>
      </c>
      <c r="K47" s="26">
        <f t="shared" si="15"/>
        <v>9300000</v>
      </c>
      <c r="L47" s="27">
        <f>(K9*L9+K20*L20)/K47</f>
        <v>0.13933333333333334</v>
      </c>
      <c r="M47" s="27">
        <f>(F9*M9+F20*M20)/F47</f>
        <v>0.13259701492537315</v>
      </c>
      <c r="N47" s="27"/>
      <c r="O47" s="27"/>
      <c r="P47" s="27"/>
      <c r="Q47" s="27"/>
    </row>
    <row r="48" spans="1:17" x14ac:dyDescent="0.35">
      <c r="A48" s="24" t="s">
        <v>36</v>
      </c>
      <c r="B48" s="25" t="s">
        <v>43</v>
      </c>
      <c r="C48" s="25">
        <v>2023</v>
      </c>
      <c r="D48" s="25" t="s">
        <v>71</v>
      </c>
      <c r="E48" s="25" t="s">
        <v>38</v>
      </c>
      <c r="F48" s="25">
        <f t="shared" ref="F48:K49" si="16">F11+F22</f>
        <v>150</v>
      </c>
      <c r="G48" s="25">
        <f t="shared" si="16"/>
        <v>113</v>
      </c>
      <c r="H48" s="25">
        <f t="shared" si="16"/>
        <v>15</v>
      </c>
      <c r="I48" s="25">
        <f t="shared" si="16"/>
        <v>14</v>
      </c>
      <c r="J48" s="25">
        <f t="shared" si="16"/>
        <v>8</v>
      </c>
      <c r="K48" s="26">
        <f t="shared" si="16"/>
        <v>18800000</v>
      </c>
      <c r="L48" s="27">
        <f>(K11*L11+K22*L22)/K48</f>
        <v>4.2632978723404255E-2</v>
      </c>
      <c r="M48" s="27">
        <f>(F11*M11+F22*M22)/F48</f>
        <v>4.0506666666666663E-2</v>
      </c>
      <c r="N48" s="27"/>
      <c r="O48" s="27"/>
      <c r="P48" s="27"/>
      <c r="Q48" s="27"/>
    </row>
    <row r="49" spans="1:17" x14ac:dyDescent="0.35">
      <c r="A49" s="24" t="s">
        <v>36</v>
      </c>
      <c r="B49" s="25" t="s">
        <v>43</v>
      </c>
      <c r="C49" s="25">
        <v>2023</v>
      </c>
      <c r="D49" s="25" t="s">
        <v>71</v>
      </c>
      <c r="E49" s="25" t="s">
        <v>39</v>
      </c>
      <c r="F49" s="25">
        <f t="shared" si="16"/>
        <v>57</v>
      </c>
      <c r="G49" s="25">
        <f t="shared" si="16"/>
        <v>32</v>
      </c>
      <c r="H49" s="25">
        <f t="shared" si="16"/>
        <v>12</v>
      </c>
      <c r="I49" s="25">
        <f t="shared" si="16"/>
        <v>9</v>
      </c>
      <c r="J49" s="25">
        <f t="shared" si="16"/>
        <v>4</v>
      </c>
      <c r="K49" s="26">
        <f t="shared" si="16"/>
        <v>8050000</v>
      </c>
      <c r="L49" s="27">
        <f>(K12*L12+K23*L23)/K49</f>
        <v>0.1342670807453416</v>
      </c>
      <c r="M49" s="27">
        <f>(F12*M12+F23*M23)/F49</f>
        <v>0.127</v>
      </c>
      <c r="N49" s="27"/>
      <c r="O49" s="27"/>
      <c r="P49" s="27"/>
      <c r="Q49" s="27"/>
    </row>
    <row r="50" spans="1:17" x14ac:dyDescent="0.35">
      <c r="A50" s="24" t="s">
        <v>36</v>
      </c>
      <c r="B50" s="25" t="s">
        <v>43</v>
      </c>
      <c r="C50" s="25">
        <v>2024</v>
      </c>
      <c r="D50" s="25" t="s">
        <v>71</v>
      </c>
      <c r="E50" s="25" t="s">
        <v>38</v>
      </c>
      <c r="F50" s="25">
        <f t="shared" ref="F50:K51" si="17">F14+F25</f>
        <v>119</v>
      </c>
      <c r="G50" s="25">
        <f t="shared" si="17"/>
        <v>87</v>
      </c>
      <c r="H50" s="25">
        <f t="shared" si="17"/>
        <v>13</v>
      </c>
      <c r="I50" s="25">
        <f t="shared" si="17"/>
        <v>12</v>
      </c>
      <c r="J50" s="25">
        <f t="shared" si="17"/>
        <v>7</v>
      </c>
      <c r="K50" s="26">
        <f t="shared" si="17"/>
        <v>15100000</v>
      </c>
      <c r="L50" s="27">
        <f>(K14*L14+K25*L25)/K50</f>
        <v>4.4125827814569536E-2</v>
      </c>
      <c r="M50" s="27">
        <f>(F14*M14+F25*M25)/F50</f>
        <v>4.2647058823529413E-2</v>
      </c>
      <c r="N50" s="27"/>
      <c r="O50" s="27"/>
      <c r="P50" s="27"/>
      <c r="Q50" s="27"/>
    </row>
    <row r="51" spans="1:17" x14ac:dyDescent="0.35">
      <c r="A51" s="24" t="s">
        <v>36</v>
      </c>
      <c r="B51" s="25" t="s">
        <v>43</v>
      </c>
      <c r="C51" s="25">
        <v>2024</v>
      </c>
      <c r="D51" s="25" t="s">
        <v>71</v>
      </c>
      <c r="E51" s="25" t="s">
        <v>39</v>
      </c>
      <c r="F51" s="25">
        <f t="shared" si="17"/>
        <v>45</v>
      </c>
      <c r="G51" s="25">
        <f t="shared" si="17"/>
        <v>24</v>
      </c>
      <c r="H51" s="25">
        <f t="shared" si="17"/>
        <v>11</v>
      </c>
      <c r="I51" s="25">
        <f t="shared" si="17"/>
        <v>6</v>
      </c>
      <c r="J51" s="25">
        <f t="shared" si="17"/>
        <v>4</v>
      </c>
      <c r="K51" s="26">
        <f t="shared" si="17"/>
        <v>6300000</v>
      </c>
      <c r="L51" s="27">
        <f>(K15*L15+K26*L26)/K51</f>
        <v>0.1344920634920635</v>
      </c>
      <c r="M51" s="27">
        <f>(F15*M15+F26*M26)/F51</f>
        <v>0.12891111111111112</v>
      </c>
      <c r="N51" s="27"/>
      <c r="O51" s="27"/>
      <c r="P51" s="27"/>
      <c r="Q51" s="27"/>
    </row>
    <row r="53" spans="1:17" x14ac:dyDescent="0.35">
      <c r="A53" s="1" t="s">
        <v>47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35">
      <c r="A54" s="24" t="s">
        <v>36</v>
      </c>
      <c r="B54" s="25" t="s">
        <v>43</v>
      </c>
      <c r="C54" s="25">
        <v>9998</v>
      </c>
      <c r="D54" s="25" t="s">
        <v>71</v>
      </c>
      <c r="E54" s="25" t="s">
        <v>38</v>
      </c>
      <c r="F54" s="25">
        <f t="shared" ref="F54:K55" si="18">F46+F48+F50</f>
        <v>449</v>
      </c>
      <c r="G54" s="25">
        <f t="shared" si="18"/>
        <v>335</v>
      </c>
      <c r="H54" s="25">
        <f t="shared" si="18"/>
        <v>47</v>
      </c>
      <c r="I54" s="25">
        <f t="shared" si="18"/>
        <v>43</v>
      </c>
      <c r="J54" s="25">
        <f t="shared" si="18"/>
        <v>24</v>
      </c>
      <c r="K54" s="26">
        <f t="shared" si="18"/>
        <v>56200000</v>
      </c>
      <c r="L54" s="27">
        <f>(K46*L46+K48*L48+K50*L50)/K54</f>
        <v>4.4587188612099642E-2</v>
      </c>
      <c r="M54" s="27">
        <f>(F46*M46+F48*M48+F50*M50)/F54</f>
        <v>4.193986636971047E-2</v>
      </c>
      <c r="N54" s="27"/>
      <c r="O54" s="27"/>
      <c r="P54" s="27"/>
      <c r="Q54" s="27"/>
    </row>
    <row r="55" spans="1:17" x14ac:dyDescent="0.35">
      <c r="A55" s="24" t="s">
        <v>36</v>
      </c>
      <c r="B55" s="25" t="s">
        <v>43</v>
      </c>
      <c r="C55" s="25">
        <v>9998</v>
      </c>
      <c r="D55" s="25" t="s">
        <v>71</v>
      </c>
      <c r="E55" s="25" t="s">
        <v>39</v>
      </c>
      <c r="F55" s="25">
        <f t="shared" si="18"/>
        <v>169</v>
      </c>
      <c r="G55" s="25">
        <f t="shared" si="18"/>
        <v>94</v>
      </c>
      <c r="H55" s="25">
        <f t="shared" si="18"/>
        <v>38</v>
      </c>
      <c r="I55" s="25">
        <f t="shared" si="18"/>
        <v>24</v>
      </c>
      <c r="J55" s="25">
        <f t="shared" si="18"/>
        <v>13</v>
      </c>
      <c r="K55" s="26">
        <f t="shared" si="18"/>
        <v>23650000</v>
      </c>
      <c r="L55" s="27">
        <f>(K47*L47+K49*L49+K51*L51)/K55</f>
        <v>0.13631923890063424</v>
      </c>
      <c r="M55" s="27">
        <f>(F47*M47+F49*M49+F51*M51)/F55</f>
        <v>0.12972781065088757</v>
      </c>
      <c r="N55" s="27"/>
      <c r="O55" s="27"/>
      <c r="P55" s="27"/>
      <c r="Q55" s="27"/>
    </row>
    <row r="57" spans="1:17" x14ac:dyDescent="0.35">
      <c r="A57" s="22" t="s">
        <v>48</v>
      </c>
      <c r="B57" s="23"/>
      <c r="C57" s="23"/>
      <c r="D57" s="23"/>
      <c r="E57" s="23"/>
      <c r="F57" s="23">
        <f t="shared" ref="F57:K57" si="19">(F54+F55)-F35</f>
        <v>0</v>
      </c>
      <c r="G57" s="23">
        <f t="shared" si="19"/>
        <v>0</v>
      </c>
      <c r="H57" s="23">
        <f t="shared" si="19"/>
        <v>0</v>
      </c>
      <c r="I57" s="23">
        <f t="shared" si="19"/>
        <v>0</v>
      </c>
      <c r="J57" s="23">
        <f t="shared" si="19"/>
        <v>0</v>
      </c>
      <c r="K57" s="23">
        <f t="shared" si="19"/>
        <v>0</v>
      </c>
      <c r="L57" s="23">
        <f>ROUND(((K54*L54+K55*L55)/(K54+K55))-L35,8)</f>
        <v>0</v>
      </c>
      <c r="M57" s="23">
        <f>ROUND(((F54*M54+F55*M55)/(F54+F55))-M35,8)</f>
        <v>0</v>
      </c>
      <c r="N57" s="23"/>
      <c r="O57" s="23"/>
      <c r="P57" s="23"/>
      <c r="Q57" s="23"/>
    </row>
    <row r="60" spans="1:17" x14ac:dyDescent="0.35">
      <c r="A60" s="1" t="s">
        <v>49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35">
      <c r="A61" s="6" t="s">
        <v>50</v>
      </c>
      <c r="B61" s="7" t="s">
        <v>37</v>
      </c>
      <c r="C61" s="7">
        <v>2020</v>
      </c>
      <c r="D61" s="7" t="s">
        <v>51</v>
      </c>
      <c r="E61" s="7" t="s">
        <v>40</v>
      </c>
      <c r="F61" s="7">
        <v>32</v>
      </c>
      <c r="G61" s="7">
        <v>4</v>
      </c>
      <c r="H61" s="7">
        <v>3</v>
      </c>
      <c r="I61" s="7">
        <v>21</v>
      </c>
      <c r="J61" s="7">
        <v>4</v>
      </c>
      <c r="K61" s="8">
        <v>87500000</v>
      </c>
      <c r="L61" s="9">
        <v>0.48199999999999998</v>
      </c>
      <c r="M61" s="9">
        <v>0.51</v>
      </c>
      <c r="N61" s="9">
        <v>3.5000000000000003E-2</v>
      </c>
      <c r="O61" s="9">
        <v>0.38500000000000001</v>
      </c>
      <c r="P61" s="9">
        <v>0.92</v>
      </c>
      <c r="Q61" s="9">
        <v>0.78</v>
      </c>
    </row>
    <row r="62" spans="1:17" x14ac:dyDescent="0.35">
      <c r="A62" s="6" t="s">
        <v>50</v>
      </c>
      <c r="B62" s="7" t="s">
        <v>37</v>
      </c>
      <c r="C62" s="7">
        <v>2021</v>
      </c>
      <c r="D62" s="7" t="s">
        <v>51</v>
      </c>
      <c r="E62" s="7" t="s">
        <v>40</v>
      </c>
      <c r="F62" s="7">
        <v>28</v>
      </c>
      <c r="G62" s="7">
        <v>5</v>
      </c>
      <c r="H62" s="7">
        <v>2</v>
      </c>
      <c r="I62" s="7">
        <v>17</v>
      </c>
      <c r="J62" s="7">
        <v>4</v>
      </c>
      <c r="K62" s="8">
        <v>74200000</v>
      </c>
      <c r="L62" s="9">
        <v>0.501</v>
      </c>
      <c r="M62" s="9">
        <v>0.52400000000000002</v>
      </c>
      <c r="N62" s="9">
        <v>3.7999999999999999E-2</v>
      </c>
      <c r="O62" s="9">
        <v>0.41</v>
      </c>
      <c r="P62" s="9">
        <v>0.93500000000000005</v>
      </c>
      <c r="Q62" s="9">
        <v>0.8</v>
      </c>
    </row>
    <row r="63" spans="1:17" x14ac:dyDescent="0.35">
      <c r="A63" s="6" t="s">
        <v>50</v>
      </c>
      <c r="B63" s="7" t="s">
        <v>37</v>
      </c>
      <c r="C63" s="7">
        <v>2022</v>
      </c>
      <c r="D63" s="7" t="s">
        <v>51</v>
      </c>
      <c r="E63" s="7" t="s">
        <v>40</v>
      </c>
      <c r="F63" s="7">
        <v>41</v>
      </c>
      <c r="G63" s="7">
        <v>7</v>
      </c>
      <c r="H63" s="7">
        <v>3</v>
      </c>
      <c r="I63" s="7">
        <v>26</v>
      </c>
      <c r="J63" s="7">
        <v>5</v>
      </c>
      <c r="K63" s="8">
        <v>112300000</v>
      </c>
      <c r="L63" s="9">
        <v>0.47499999999999998</v>
      </c>
      <c r="M63" s="9">
        <v>0.498</v>
      </c>
      <c r="N63" s="9">
        <v>3.3000000000000002E-2</v>
      </c>
      <c r="O63" s="9">
        <v>0.38</v>
      </c>
      <c r="P63" s="9">
        <v>0.91500000000000004</v>
      </c>
      <c r="Q63" s="9">
        <v>0.76500000000000001</v>
      </c>
    </row>
    <row r="64" spans="1:17" x14ac:dyDescent="0.35">
      <c r="A64" s="6" t="s">
        <v>50</v>
      </c>
      <c r="B64" s="7" t="s">
        <v>37</v>
      </c>
      <c r="C64" s="7">
        <v>2023</v>
      </c>
      <c r="D64" s="7" t="s">
        <v>51</v>
      </c>
      <c r="E64" s="7" t="s">
        <v>40</v>
      </c>
      <c r="F64" s="7">
        <v>38</v>
      </c>
      <c r="G64" s="7">
        <v>6</v>
      </c>
      <c r="H64" s="7">
        <v>4</v>
      </c>
      <c r="I64" s="7">
        <v>24</v>
      </c>
      <c r="J64" s="7">
        <v>4</v>
      </c>
      <c r="K64" s="8">
        <v>103800000</v>
      </c>
      <c r="L64" s="9">
        <v>0.48899999999999999</v>
      </c>
      <c r="M64" s="9">
        <v>0.50600000000000001</v>
      </c>
      <c r="N64" s="9">
        <v>3.5999999999999997E-2</v>
      </c>
      <c r="O64" s="9">
        <v>0.39200000000000002</v>
      </c>
      <c r="P64" s="9">
        <v>0.92800000000000005</v>
      </c>
      <c r="Q64" s="9">
        <v>0.78200000000000003</v>
      </c>
    </row>
    <row r="65" spans="1:17" x14ac:dyDescent="0.35">
      <c r="A65" s="6" t="s">
        <v>50</v>
      </c>
      <c r="B65" s="7" t="s">
        <v>37</v>
      </c>
      <c r="C65" s="7">
        <v>2024</v>
      </c>
      <c r="D65" s="7" t="s">
        <v>51</v>
      </c>
      <c r="E65" s="7" t="s">
        <v>40</v>
      </c>
      <c r="F65" s="7">
        <v>25</v>
      </c>
      <c r="G65" s="7">
        <v>4</v>
      </c>
      <c r="H65" s="7">
        <v>2</v>
      </c>
      <c r="I65" s="7">
        <v>15</v>
      </c>
      <c r="J65" s="7">
        <v>4</v>
      </c>
      <c r="K65" s="8">
        <v>68500000</v>
      </c>
      <c r="L65" s="9">
        <v>0.51</v>
      </c>
      <c r="M65" s="9">
        <v>0.53</v>
      </c>
      <c r="N65" s="9">
        <v>0.04</v>
      </c>
      <c r="O65" s="9">
        <v>0.42</v>
      </c>
      <c r="P65" s="9">
        <v>0.94</v>
      </c>
      <c r="Q65" s="9">
        <v>0.81</v>
      </c>
    </row>
    <row r="66" spans="1:17" x14ac:dyDescent="0.35">
      <c r="A66" s="10" t="s">
        <v>50</v>
      </c>
      <c r="B66" s="11" t="s">
        <v>37</v>
      </c>
      <c r="C66" s="11">
        <v>9998</v>
      </c>
      <c r="D66" s="11" t="s">
        <v>51</v>
      </c>
      <c r="E66" s="11" t="s">
        <v>40</v>
      </c>
      <c r="F66" s="11">
        <f t="shared" ref="F66:K66" si="20">SUM(F61:F65)</f>
        <v>164</v>
      </c>
      <c r="G66" s="11">
        <f t="shared" si="20"/>
        <v>26</v>
      </c>
      <c r="H66" s="11">
        <f t="shared" si="20"/>
        <v>14</v>
      </c>
      <c r="I66" s="11">
        <f t="shared" si="20"/>
        <v>103</v>
      </c>
      <c r="J66" s="11">
        <f t="shared" si="20"/>
        <v>21</v>
      </c>
      <c r="K66" s="12">
        <f t="shared" si="20"/>
        <v>446300000</v>
      </c>
      <c r="L66" s="13">
        <f>SUMPRODUCT(K61:K65,L61:L65)/K66</f>
        <v>0.48932310105310328</v>
      </c>
      <c r="M66" s="13">
        <f>SUMPRODUCT(F61:F65,M61:M65)/F66</f>
        <v>0.51151219512195123</v>
      </c>
      <c r="N66" s="13">
        <f>SUMPRODUCT(G61:G65,N61:N65)/G66</f>
        <v>3.603846153846154E-2</v>
      </c>
      <c r="O66" s="13">
        <f>SUMPRODUCT(H61:H65,O61:O65)/H66</f>
        <v>0.39449999999999996</v>
      </c>
      <c r="P66" s="13">
        <f>SUMPRODUCT(I61:I65,P61:P65)/I66</f>
        <v>0.92599029126213583</v>
      </c>
      <c r="Q66" s="13">
        <f>SUMPRODUCT(J61:J65,Q61:Q65)/J66</f>
        <v>0.78633333333333322</v>
      </c>
    </row>
    <row r="68" spans="1:17" x14ac:dyDescent="0.35">
      <c r="A68" s="6" t="s">
        <v>50</v>
      </c>
      <c r="B68" s="7" t="s">
        <v>41</v>
      </c>
      <c r="C68" s="7">
        <v>2021</v>
      </c>
      <c r="D68" s="7" t="s">
        <v>51</v>
      </c>
      <c r="E68" s="7" t="s">
        <v>40</v>
      </c>
      <c r="F68" s="7">
        <v>18</v>
      </c>
      <c r="G68" s="7">
        <v>3</v>
      </c>
      <c r="H68" s="7">
        <v>2</v>
      </c>
      <c r="I68" s="7">
        <v>10</v>
      </c>
      <c r="J68" s="7">
        <v>3</v>
      </c>
      <c r="K68" s="8">
        <v>42000000</v>
      </c>
      <c r="L68" s="9">
        <v>0.44</v>
      </c>
      <c r="M68" s="9">
        <v>0.46</v>
      </c>
      <c r="N68" s="9">
        <v>0.03</v>
      </c>
      <c r="O68" s="9">
        <v>0.35</v>
      </c>
      <c r="P68" s="9">
        <v>0.88</v>
      </c>
      <c r="Q68" s="9">
        <v>0.7</v>
      </c>
    </row>
    <row r="69" spans="1:17" x14ac:dyDescent="0.35">
      <c r="A69" s="6" t="s">
        <v>50</v>
      </c>
      <c r="B69" s="7" t="s">
        <v>41</v>
      </c>
      <c r="C69" s="7">
        <v>2022</v>
      </c>
      <c r="D69" s="7" t="s">
        <v>51</v>
      </c>
      <c r="E69" s="7" t="s">
        <v>40</v>
      </c>
      <c r="F69" s="7">
        <v>22</v>
      </c>
      <c r="G69" s="7">
        <v>4</v>
      </c>
      <c r="H69" s="7">
        <v>2</v>
      </c>
      <c r="I69" s="7">
        <v>13</v>
      </c>
      <c r="J69" s="7">
        <v>3</v>
      </c>
      <c r="K69" s="8">
        <v>51000000</v>
      </c>
      <c r="L69" s="9">
        <v>0.43</v>
      </c>
      <c r="M69" s="9">
        <v>0.45200000000000001</v>
      </c>
      <c r="N69" s="9">
        <v>3.2000000000000001E-2</v>
      </c>
      <c r="O69" s="9">
        <v>0.36</v>
      </c>
      <c r="P69" s="9">
        <v>0.88500000000000001</v>
      </c>
      <c r="Q69" s="9">
        <v>0.71</v>
      </c>
    </row>
    <row r="70" spans="1:17" x14ac:dyDescent="0.35">
      <c r="A70" s="6" t="s">
        <v>50</v>
      </c>
      <c r="B70" s="7" t="s">
        <v>41</v>
      </c>
      <c r="C70" s="7">
        <v>2023</v>
      </c>
      <c r="D70" s="7" t="s">
        <v>51</v>
      </c>
      <c r="E70" s="7" t="s">
        <v>40</v>
      </c>
      <c r="F70" s="7">
        <v>15</v>
      </c>
      <c r="G70" s="7">
        <v>2</v>
      </c>
      <c r="H70" s="7">
        <v>1</v>
      </c>
      <c r="I70" s="7">
        <v>9</v>
      </c>
      <c r="J70" s="7">
        <v>3</v>
      </c>
      <c r="K70" s="8">
        <v>34500000</v>
      </c>
      <c r="L70" s="9">
        <v>0.45</v>
      </c>
      <c r="M70" s="9">
        <v>0.47</v>
      </c>
      <c r="N70" s="9">
        <v>3.4000000000000002E-2</v>
      </c>
      <c r="O70" s="9">
        <v>0.37</v>
      </c>
      <c r="P70" s="9">
        <v>0.89</v>
      </c>
      <c r="Q70" s="9">
        <v>0.72</v>
      </c>
    </row>
    <row r="71" spans="1:17" x14ac:dyDescent="0.35">
      <c r="A71" s="10" t="s">
        <v>50</v>
      </c>
      <c r="B71" s="11" t="s">
        <v>41</v>
      </c>
      <c r="C71" s="11">
        <v>9998</v>
      </c>
      <c r="D71" s="11" t="s">
        <v>51</v>
      </c>
      <c r="E71" s="11" t="s">
        <v>40</v>
      </c>
      <c r="F71" s="11">
        <f t="shared" ref="F71:K71" si="21">SUM(F68:F70)</f>
        <v>55</v>
      </c>
      <c r="G71" s="11">
        <f t="shared" si="21"/>
        <v>9</v>
      </c>
      <c r="H71" s="11">
        <f t="shared" si="21"/>
        <v>5</v>
      </c>
      <c r="I71" s="11">
        <f t="shared" si="21"/>
        <v>32</v>
      </c>
      <c r="J71" s="11">
        <f t="shared" si="21"/>
        <v>9</v>
      </c>
      <c r="K71" s="12">
        <f t="shared" si="21"/>
        <v>127500000</v>
      </c>
      <c r="L71" s="13">
        <f>SUMPRODUCT(K68:K70,L68:L70)/K71</f>
        <v>0.43870588235294117</v>
      </c>
      <c r="M71" s="13">
        <f>SUMPRODUCT(F68:F70,M68:M70)/F71</f>
        <v>0.45952727272727278</v>
      </c>
      <c r="N71" s="13">
        <f>SUMPRODUCT(G68:G70,N68:N70)/G71</f>
        <v>3.177777777777778E-2</v>
      </c>
      <c r="O71" s="13">
        <f>SUMPRODUCT(H68:H70,O68:O70)/H71</f>
        <v>0.35799999999999998</v>
      </c>
      <c r="P71" s="13">
        <f>SUMPRODUCT(I68:I70,P68:P70)/I71</f>
        <v>0.88484374999999993</v>
      </c>
      <c r="Q71" s="13">
        <f>SUMPRODUCT(J68:J70,Q68:Q70)/J71</f>
        <v>0.71</v>
      </c>
    </row>
    <row r="73" spans="1:17" x14ac:dyDescent="0.35">
      <c r="A73" s="1" t="s">
        <v>52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35">
      <c r="A74" s="14" t="s">
        <v>50</v>
      </c>
      <c r="B74" s="15" t="s">
        <v>43</v>
      </c>
      <c r="C74" s="15">
        <v>2020</v>
      </c>
      <c r="D74" s="15" t="s">
        <v>51</v>
      </c>
      <c r="E74" s="15" t="s">
        <v>40</v>
      </c>
      <c r="F74" s="15">
        <f t="shared" ref="F74:Q74" si="22">F61</f>
        <v>32</v>
      </c>
      <c r="G74" s="15">
        <f t="shared" si="22"/>
        <v>4</v>
      </c>
      <c r="H74" s="15">
        <f t="shared" si="22"/>
        <v>3</v>
      </c>
      <c r="I74" s="15">
        <f t="shared" si="22"/>
        <v>21</v>
      </c>
      <c r="J74" s="15">
        <f t="shared" si="22"/>
        <v>4</v>
      </c>
      <c r="K74" s="16">
        <f t="shared" si="22"/>
        <v>87500000</v>
      </c>
      <c r="L74" s="17">
        <f t="shared" si="22"/>
        <v>0.48199999999999998</v>
      </c>
      <c r="M74" s="17">
        <f t="shared" si="22"/>
        <v>0.51</v>
      </c>
      <c r="N74" s="17">
        <f t="shared" si="22"/>
        <v>3.5000000000000003E-2</v>
      </c>
      <c r="O74" s="17">
        <f t="shared" si="22"/>
        <v>0.38500000000000001</v>
      </c>
      <c r="P74" s="17">
        <f t="shared" si="22"/>
        <v>0.92</v>
      </c>
      <c r="Q74" s="17">
        <f t="shared" si="22"/>
        <v>0.78</v>
      </c>
    </row>
    <row r="75" spans="1:17" x14ac:dyDescent="0.35">
      <c r="A75" s="14" t="s">
        <v>50</v>
      </c>
      <c r="B75" s="15" t="s">
        <v>43</v>
      </c>
      <c r="C75" s="15">
        <v>2021</v>
      </c>
      <c r="D75" s="15" t="s">
        <v>51</v>
      </c>
      <c r="E75" s="15" t="s">
        <v>40</v>
      </c>
      <c r="F75" s="15">
        <f t="shared" ref="F75:K77" si="23">F62+F68</f>
        <v>46</v>
      </c>
      <c r="G75" s="15">
        <f t="shared" si="23"/>
        <v>8</v>
      </c>
      <c r="H75" s="15">
        <f t="shared" si="23"/>
        <v>4</v>
      </c>
      <c r="I75" s="15">
        <f t="shared" si="23"/>
        <v>27</v>
      </c>
      <c r="J75" s="15">
        <f t="shared" si="23"/>
        <v>7</v>
      </c>
      <c r="K75" s="16">
        <f t="shared" si="23"/>
        <v>116200000</v>
      </c>
      <c r="L75" s="17">
        <f>(K62*L62+K68*L68)/K75</f>
        <v>0.47895180722891567</v>
      </c>
      <c r="M75" s="17">
        <f t="shared" ref="M75:Q77" si="24">(F62*M62+F68*M68)/F75</f>
        <v>0.49895652173913047</v>
      </c>
      <c r="N75" s="17">
        <f t="shared" si="24"/>
        <v>3.5000000000000003E-2</v>
      </c>
      <c r="O75" s="17">
        <f t="shared" si="24"/>
        <v>0.38</v>
      </c>
      <c r="P75" s="17">
        <f t="shared" si="24"/>
        <v>0.91462962962962968</v>
      </c>
      <c r="Q75" s="17">
        <f t="shared" si="24"/>
        <v>0.75714285714285712</v>
      </c>
    </row>
    <row r="76" spans="1:17" x14ac:dyDescent="0.35">
      <c r="A76" s="14" t="s">
        <v>50</v>
      </c>
      <c r="B76" s="15" t="s">
        <v>43</v>
      </c>
      <c r="C76" s="15">
        <v>2022</v>
      </c>
      <c r="D76" s="15" t="s">
        <v>51</v>
      </c>
      <c r="E76" s="15" t="s">
        <v>40</v>
      </c>
      <c r="F76" s="15">
        <f t="shared" si="23"/>
        <v>63</v>
      </c>
      <c r="G76" s="15">
        <f t="shared" si="23"/>
        <v>11</v>
      </c>
      <c r="H76" s="15">
        <f t="shared" si="23"/>
        <v>5</v>
      </c>
      <c r="I76" s="15">
        <f t="shared" si="23"/>
        <v>39</v>
      </c>
      <c r="J76" s="15">
        <f t="shared" si="23"/>
        <v>8</v>
      </c>
      <c r="K76" s="16">
        <f t="shared" si="23"/>
        <v>163300000</v>
      </c>
      <c r="L76" s="17">
        <f>(K63*L63+K69*L69)/K76</f>
        <v>0.46094611145131659</v>
      </c>
      <c r="M76" s="17">
        <f t="shared" si="24"/>
        <v>0.48193650793650794</v>
      </c>
      <c r="N76" s="17">
        <f t="shared" si="24"/>
        <v>3.2636363636363637E-2</v>
      </c>
      <c r="O76" s="17">
        <f t="shared" si="24"/>
        <v>0.372</v>
      </c>
      <c r="P76" s="17">
        <f t="shared" si="24"/>
        <v>0.90500000000000003</v>
      </c>
      <c r="Q76" s="17">
        <f t="shared" si="24"/>
        <v>0.74437500000000001</v>
      </c>
    </row>
    <row r="77" spans="1:17" x14ac:dyDescent="0.35">
      <c r="A77" s="14" t="s">
        <v>50</v>
      </c>
      <c r="B77" s="15" t="s">
        <v>43</v>
      </c>
      <c r="C77" s="15">
        <v>2023</v>
      </c>
      <c r="D77" s="15" t="s">
        <v>51</v>
      </c>
      <c r="E77" s="15" t="s">
        <v>40</v>
      </c>
      <c r="F77" s="15">
        <f t="shared" si="23"/>
        <v>53</v>
      </c>
      <c r="G77" s="15">
        <f t="shared" si="23"/>
        <v>8</v>
      </c>
      <c r="H77" s="15">
        <f t="shared" si="23"/>
        <v>5</v>
      </c>
      <c r="I77" s="15">
        <f t="shared" si="23"/>
        <v>33</v>
      </c>
      <c r="J77" s="15">
        <f t="shared" si="23"/>
        <v>7</v>
      </c>
      <c r="K77" s="16">
        <f t="shared" si="23"/>
        <v>138300000</v>
      </c>
      <c r="L77" s="17">
        <f>(K64*L64+K70*L70)/K77</f>
        <v>0.47927114967462037</v>
      </c>
      <c r="M77" s="17">
        <f t="shared" si="24"/>
        <v>0.49581132075471701</v>
      </c>
      <c r="N77" s="17">
        <f t="shared" si="24"/>
        <v>3.5499999999999997E-2</v>
      </c>
      <c r="O77" s="17">
        <f t="shared" si="24"/>
        <v>0.38760000000000006</v>
      </c>
      <c r="P77" s="17">
        <f t="shared" si="24"/>
        <v>0.91763636363636369</v>
      </c>
      <c r="Q77" s="17">
        <f t="shared" si="24"/>
        <v>0.75542857142857145</v>
      </c>
    </row>
    <row r="78" spans="1:17" x14ac:dyDescent="0.35">
      <c r="A78" s="14" t="s">
        <v>50</v>
      </c>
      <c r="B78" s="15" t="s">
        <v>43</v>
      </c>
      <c r="C78" s="15">
        <v>2024</v>
      </c>
      <c r="D78" s="15" t="s">
        <v>51</v>
      </c>
      <c r="E78" s="15" t="s">
        <v>40</v>
      </c>
      <c r="F78" s="15">
        <f t="shared" ref="F78:Q78" si="25">F65</f>
        <v>25</v>
      </c>
      <c r="G78" s="15">
        <f t="shared" si="25"/>
        <v>4</v>
      </c>
      <c r="H78" s="15">
        <f t="shared" si="25"/>
        <v>2</v>
      </c>
      <c r="I78" s="15">
        <f t="shared" si="25"/>
        <v>15</v>
      </c>
      <c r="J78" s="15">
        <f t="shared" si="25"/>
        <v>4</v>
      </c>
      <c r="K78" s="16">
        <f t="shared" si="25"/>
        <v>68500000</v>
      </c>
      <c r="L78" s="17">
        <f t="shared" si="25"/>
        <v>0.51</v>
      </c>
      <c r="M78" s="17">
        <f t="shared" si="25"/>
        <v>0.53</v>
      </c>
      <c r="N78" s="17">
        <f t="shared" si="25"/>
        <v>0.04</v>
      </c>
      <c r="O78" s="17">
        <f t="shared" si="25"/>
        <v>0.42</v>
      </c>
      <c r="P78" s="17">
        <f t="shared" si="25"/>
        <v>0.94</v>
      </c>
      <c r="Q78" s="17">
        <f t="shared" si="25"/>
        <v>0.81</v>
      </c>
    </row>
    <row r="80" spans="1:17" x14ac:dyDescent="0.35">
      <c r="A80" s="18" t="s">
        <v>50</v>
      </c>
      <c r="B80" s="19" t="s">
        <v>43</v>
      </c>
      <c r="C80" s="19">
        <v>9998</v>
      </c>
      <c r="D80" s="19" t="s">
        <v>51</v>
      </c>
      <c r="E80" s="19" t="s">
        <v>40</v>
      </c>
      <c r="F80" s="19">
        <f t="shared" ref="F80:K80" si="26">F74+F75+F76+F77+F78</f>
        <v>219</v>
      </c>
      <c r="G80" s="19">
        <f t="shared" si="26"/>
        <v>35</v>
      </c>
      <c r="H80" s="19">
        <f t="shared" si="26"/>
        <v>19</v>
      </c>
      <c r="I80" s="19">
        <f t="shared" si="26"/>
        <v>135</v>
      </c>
      <c r="J80" s="19">
        <f t="shared" si="26"/>
        <v>30</v>
      </c>
      <c r="K80" s="20">
        <f t="shared" si="26"/>
        <v>573800000</v>
      </c>
      <c r="L80" s="21">
        <f>(K74*L74+K75*L75+K76*L76+K77*L77+K78*L78)/K80</f>
        <v>0.4780758103868944</v>
      </c>
      <c r="M80" s="21">
        <f>(F74*M74+F75*M75+F76*M76+F77*M77+F78*M78)/F80</f>
        <v>0.49845662100456628</v>
      </c>
      <c r="N80" s="21">
        <f>(G74*N74+G75*N75+G76*N76+G77*N77+G78*N78)/G80</f>
        <v>3.4942857142857137E-2</v>
      </c>
      <c r="O80" s="21">
        <f>(H74*O74+H75*O75+H76*O76+H77*O77+H78*O78)/H80</f>
        <v>0.38489473684210529</v>
      </c>
      <c r="P80" s="21">
        <f>(I74*P74+I75*P75+I76*P76+I77*P77+I78*P78)/I80</f>
        <v>0.91623703703703707</v>
      </c>
      <c r="Q80" s="21">
        <f>(J74*Q74+J75*Q75+J76*Q76+J77*Q77+J78*Q78)/J80</f>
        <v>0.7634333333333333</v>
      </c>
    </row>
    <row r="81" spans="1:17" x14ac:dyDescent="0.35">
      <c r="A81" s="22" t="s">
        <v>44</v>
      </c>
      <c r="B81" s="23"/>
      <c r="C81" s="23"/>
      <c r="D81" s="23"/>
      <c r="E81" s="23"/>
      <c r="F81" s="23">
        <f t="shared" ref="F81:K81" si="27">F80-(F66+F71)</f>
        <v>0</v>
      </c>
      <c r="G81" s="23">
        <f t="shared" si="27"/>
        <v>0</v>
      </c>
      <c r="H81" s="23">
        <f t="shared" si="27"/>
        <v>0</v>
      </c>
      <c r="I81" s="23">
        <f t="shared" si="27"/>
        <v>0</v>
      </c>
      <c r="J81" s="23">
        <f t="shared" si="27"/>
        <v>0</v>
      </c>
      <c r="K81" s="23">
        <f t="shared" si="27"/>
        <v>0</v>
      </c>
      <c r="L81" s="23">
        <f>ROUND(L80-((K66*L66+K71*L71)/K80),8)</f>
        <v>0</v>
      </c>
      <c r="M81" s="23">
        <f>ROUND(M80-((F66*M66+F71*M71)/F80),8)</f>
        <v>0</v>
      </c>
      <c r="N81" s="23"/>
      <c r="O81" s="23"/>
      <c r="P81" s="23"/>
      <c r="Q81" s="23"/>
    </row>
  </sheetData>
  <mergeCells count="9">
    <mergeCell ref="A45:Q45"/>
    <mergeCell ref="A53:Q53"/>
    <mergeCell ref="A60:Q60"/>
    <mergeCell ref="A73:Q73"/>
    <mergeCell ref="A1:Q1"/>
    <mergeCell ref="A2:Q2"/>
    <mergeCell ref="A7:Q7"/>
    <mergeCell ref="A30:Q30"/>
    <mergeCell ref="A39:Q39"/>
  </mergeCells>
  <pageMargins left="0.75" right="0.75" top="1" bottom="1" header="0.511811023622047" footer="0.511811023622047"/>
  <pageSetup paperSize="9" orientation="portrait" horizontalDpi="300" verticalDpi="300"/>
  <headerFooter>
    <oddHeader>&amp;C&amp;"Arial"&amp;8&amp;K537173 For business use only / Nur für den geschäftlichen Gebrauch&amp;1#_x000D_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topLeftCell="A12" zoomScaleNormal="100" workbookViewId="0">
      <selection activeCell="A12" sqref="A12"/>
    </sheetView>
  </sheetViews>
  <sheetFormatPr defaultColWidth="8.6328125" defaultRowHeight="14.5" x14ac:dyDescent="0.35"/>
  <cols>
    <col min="1" max="1" width="130" customWidth="1"/>
  </cols>
  <sheetData>
    <row r="1" spans="1:1" ht="15.5" x14ac:dyDescent="0.35">
      <c r="A1" s="28" t="s">
        <v>53</v>
      </c>
    </row>
    <row r="2" spans="1:1" x14ac:dyDescent="0.35">
      <c r="A2" s="29" t="s">
        <v>54</v>
      </c>
    </row>
    <row r="3" spans="1:1" x14ac:dyDescent="0.35">
      <c r="A3" s="30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8" spans="1:1" ht="15.5" x14ac:dyDescent="0.35">
      <c r="A8" s="28" t="s">
        <v>59</v>
      </c>
    </row>
    <row r="9" spans="1:1" ht="30" customHeight="1" x14ac:dyDescent="0.35">
      <c r="A9" s="31" t="s">
        <v>60</v>
      </c>
    </row>
    <row r="10" spans="1:1" ht="30" customHeight="1" x14ac:dyDescent="0.35">
      <c r="A10" s="31" t="s">
        <v>61</v>
      </c>
    </row>
    <row r="11" spans="1:1" ht="30" customHeight="1" x14ac:dyDescent="0.35">
      <c r="A11" s="31" t="s">
        <v>62</v>
      </c>
    </row>
    <row r="12" spans="1:1" ht="30" customHeight="1" x14ac:dyDescent="0.35">
      <c r="A12" s="31" t="s">
        <v>63</v>
      </c>
    </row>
    <row r="13" spans="1:1" ht="30" customHeight="1" x14ac:dyDescent="0.35">
      <c r="A13" s="31" t="s">
        <v>64</v>
      </c>
    </row>
    <row r="14" spans="1:1" ht="30" customHeight="1" x14ac:dyDescent="0.35">
      <c r="A14" s="31" t="s">
        <v>65</v>
      </c>
    </row>
    <row r="15" spans="1:1" ht="30" customHeight="1" x14ac:dyDescent="0.35">
      <c r="A15" s="31" t="s">
        <v>66</v>
      </c>
    </row>
    <row r="16" spans="1:1" ht="30" customHeight="1" x14ac:dyDescent="0.35">
      <c r="A16" s="31" t="s">
        <v>67</v>
      </c>
    </row>
    <row r="17" spans="1:1" ht="30" customHeight="1" x14ac:dyDescent="0.35">
      <c r="A17" s="31" t="s">
        <v>68</v>
      </c>
    </row>
    <row r="18" spans="1:1" ht="30" customHeight="1" x14ac:dyDescent="0.35">
      <c r="A18" s="31" t="s">
        <v>69</v>
      </c>
    </row>
    <row r="19" spans="1:1" ht="30" customHeight="1" x14ac:dyDescent="0.35">
      <c r="A19" s="31" t="s">
        <v>70</v>
      </c>
    </row>
  </sheetData>
  <pageMargins left="0.75" right="0.75" top="1" bottom="1" header="0.511811023622047" footer="0.511811023622047"/>
  <pageSetup paperSize="9" orientation="portrait" horizontalDpi="300" verticalDpi="300"/>
  <headerFooter>
    <oddHeader>&amp;C&amp;"Arial"&amp;8&amp;K537173 For business use only / Nur für den geschäftlichen Gebrauch&amp;1#_x000D_</oddHeader>
  </headerFooter>
</worksheet>
</file>

<file path=docMetadata/LabelInfo.xml><?xml version="1.0" encoding="utf-8"?>
<clbl:labelList xmlns:clbl="http://schemas.microsoft.com/office/2020/mipLabelMetadata">
  <clbl:label id="{fe4bc684-102f-461d-a6dc-b1e58752f380}" enabled="1" method="Standard" siteId="{2d75a51b-29e5-45d5-a5c5-5aa979cb6a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 104.00 Loss Rates</vt:lpstr>
      <vt:lpstr>Legend &amp; 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Gupta, Puneet</cp:lastModifiedBy>
  <cp:revision>0</cp:revision>
  <dcterms:created xsi:type="dcterms:W3CDTF">2026-07-02T14:22:42Z</dcterms:created>
  <dcterms:modified xsi:type="dcterms:W3CDTF">2026-07-02T14:46:15Z</dcterms:modified>
  <dc:language>en-US</dc:language>
</cp:coreProperties>
</file>