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charts/chart6.xml" ContentType="application/vnd.openxmlformats-officedocument.drawingml.chart+xml"/>
  <Override PartName="/xl/drawings/drawing6.xml" ContentType="application/vnd.openxmlformats-officedocument.drawing+xml"/>
  <Override PartName="/xl/charts/chart7.xml" ContentType="application/vnd.openxmlformats-officedocument.drawingml.chart+xml"/>
  <Override PartName="/xl/theme/themeOverride1.xml" ContentType="application/vnd.openxmlformats-officedocument.themeOverride+xml"/>
  <Override PartName="/xl/charts/chart8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 updateLinks="always" codeName="ThisWorkbook" defaultThemeVersion="124226"/>
  <bookViews>
    <workbookView xWindow="14505" yWindow="-15" windowWidth="14310" windowHeight="14265" tabRatio="879"/>
  </bookViews>
  <sheets>
    <sheet name="Bank Template Tool - 2014" sheetId="1" r:id="rId1"/>
    <sheet name="Summary - 2014" sheetId="6" r:id="rId2"/>
    <sheet name="Summary - 2013" sheetId="10" r:id="rId3"/>
    <sheet name="Charts" sheetId="7" r:id="rId4"/>
    <sheet name="Charts - 2yr" sheetId="11" r:id="rId5"/>
    <sheet name="Data" sheetId="8" r:id="rId6"/>
    <sheet name="aux - template " sheetId="16" r:id="rId7"/>
    <sheet name="aux - sample" sheetId="5" r:id="rId8"/>
  </sheets>
  <externalReferences>
    <externalReference r:id="rId9"/>
    <externalReference r:id="rId10"/>
  </externalReferences>
  <definedNames>
    <definedName name="_ftn1" localSheetId="0">'Bank Template Tool - 2014'!#REF!</definedName>
    <definedName name="_ftn1" localSheetId="5">Data!#REF!</definedName>
    <definedName name="_ftnref1" localSheetId="0">'Bank Template Tool - 2014'!$C$127</definedName>
    <definedName name="_ftnref1" localSheetId="5">Data!#REF!</definedName>
    <definedName name="A">#REF!</definedName>
    <definedName name="AccountingStandard" localSheetId="7">[1]Parameters!$E$74:$E$77</definedName>
    <definedName name="AccountingStandard" localSheetId="5">#REF!</definedName>
    <definedName name="AccountingStandard">#REF!</definedName>
    <definedName name="Bankname">'Bank Template Tool - 2014'!$F$2</definedName>
    <definedName name="CheckBoxes1" localSheetId="7">'[2]aux - 2013 blank template'!$J$20:$J$21,'[2]aux - 2013 blank template'!$J$22:$J$24,'[2]aux - 2013 blank template'!$J$26:$J$26,'[2]aux - 2013 blank template'!$J$27:$J$32,'[2]aux - 2013 blank template'!$J$40:$J$41,'[2]aux - 2013 blank template'!$J$57:$J$59,'[2]aux - 2013 blank template'!$J$61:$J$66,'[2]aux - 2013 blank template'!$J$67,'[2]aux - 2013 blank template'!$J$69:$J$70,'[2]aux - 2013 blank template'!$J$75:$J$77,'[2]aux - 2013 blank template'!$J$78,'[2]aux - 2013 blank template'!$J$80:$J$81,'[2]aux - 2013 blank template'!$J$88:$J$94,'[2]aux - 2013 blank template'!$J$96:$J$96</definedName>
    <definedName name="CheckBoxes1" localSheetId="5">Data!#REF!,Data!#REF!,Data!#REF!,Data!#REF!,Data!#REF!,Data!#REF!,Data!#REF!,Data!#REF!,Data!#REF!,Data!#REF!,Data!#REF!,Data!#REF!,Data!#REF!,Data!#REF!</definedName>
    <definedName name="CheckBoxes1">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</definedName>
    <definedName name="CheckBoxes2" localSheetId="7">'[2]aux - 2013 blank template'!$J$103:$J$114,'[2]aux - 2013 blank template'!#REF!,'[2]aux - 2013 blank template'!$J$122,'[2]aux - 2013 blank template'!$J$125:$J$126,'[2]aux - 2013 blank template'!$J$132:$J$133,'[2]aux - 2013 blank template'!$J$137:$J$138,'[2]aux - 2013 blank template'!#REF!,'[2]aux - 2013 blank template'!$J$142,'[2]aux - 2013 blank template'!$J$146,'[2]aux - 2013 blank template'!$J$151,'[2]aux - 2013 blank template'!$J$157:$J$159,'[2]aux - 2013 blank template'!$J$167:$J$168,'[2]aux - 2013 blank template'!$J$170:$J$179</definedName>
    <definedName name="CheckBoxes2" localSheetId="5">Data!#REF!,Data!#REF!,Data!#REF!,Data!#REF!,Data!#REF!,Data!#REF!,Data!#REF!,Data!#REF!,Data!#REF!,Data!#REF!,Data!#REF!,Data!#REF!,Data!#REF!</definedName>
    <definedName name="CheckBoxes2">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- 2014'!#REF!,'Bank Template Tool - 2014'!#REF!</definedName>
    <definedName name="ChecksColumn" localSheetId="5">Data!#REF!</definedName>
    <definedName name="ChecksColumn">'Bank Template Tool - 2014'!#REF!</definedName>
    <definedName name="ChecksResponses" localSheetId="7">[1]Parameters!$E$79:$E$82</definedName>
    <definedName name="ChecksResponses" localSheetId="5">#REF!</definedName>
    <definedName name="ChecksResponses">#REF!</definedName>
    <definedName name="CountryCode" localSheetId="7">[1]Parameters!$E$24:$E$45</definedName>
    <definedName name="CountryCode" localSheetId="5">#REF!</definedName>
    <definedName name="CountryCode">#REF!</definedName>
    <definedName name="PanelHeaders1" localSheetId="7">'[2]aux - 2013 blank template'!$B$2:$M$2,'[2]aux - 2013 blank template'!$B$17:$M$17,'[2]aux - 2013 blank template'!$B$54:$M$54,'[2]aux - 2013 blank template'!$B$99:$M$99,'[2]aux - 2013 blank template'!$B$129:$M$129,'[2]aux - 2013 blank template'!$B$148:$M$148,'[2]aux - 2013 blank template'!$B$164:$M$164</definedName>
    <definedName name="PanelHeaders1" localSheetId="5">Data!#REF!,Data!#REF!,Data!#REF!,Data!#REF!,Data!#REF!,Data!#REF!,Data!#REF!</definedName>
    <definedName name="PanelHeaders1">'Bank Template Tool - 2014'!$B$4:$I$4,'Bank Template Tool - 2014'!$B$20:$I$20,'Bank Template Tool - 2014'!$B$48:$I$48,'Bank Template Tool - 2014'!$B$88:$I$88,'Bank Template Tool - 2014'!$B$115:$I$115,'Bank Template Tool - 2014'!$B$132:$I$132,'Bank Template Tool - 2014'!$B$143:$I$143</definedName>
    <definedName name="PanelHeaders2" localSheetId="7">#REF!,#REF!,#REF!</definedName>
    <definedName name="PanelHeaders2" localSheetId="5">#REF!,#REF!,#REF!</definedName>
    <definedName name="PanelHeaders2">#REF!,#REF!,#REF!</definedName>
    <definedName name="_xlnm.Print_Area" localSheetId="0">'Bank Template Tool - 2014'!$A$2:$J$150</definedName>
    <definedName name="_xlnm.Print_Area" localSheetId="3">Charts!$A$1:$U$136</definedName>
    <definedName name="_xlnm.Print_Area" localSheetId="4">'Charts - 2yr'!$A$4:$U$58</definedName>
    <definedName name="_xlnm.Print_Area" localSheetId="5">Data!#REF!</definedName>
    <definedName name="_xlnm.Print_Titles" localSheetId="0">'Bank Template Tool - 2014'!$2:$19</definedName>
    <definedName name="ReportingCurrency" localSheetId="7">[1]Parameters!$E$48:$E$67</definedName>
    <definedName name="ReportingCurrency" localSheetId="5">#REF!</definedName>
    <definedName name="ReportingCurrency">#REF!</definedName>
    <definedName name="ReportingDate" localSheetId="7">[1]Parameters!$E$15:$E$22</definedName>
    <definedName name="ReportingDate" localSheetId="5">#REF!</definedName>
    <definedName name="ReportingDate">#REF!</definedName>
    <definedName name="ReportingUnit" localSheetId="7">[1]Parameters!$E$69:$E$72</definedName>
    <definedName name="ReportingUnit" localSheetId="5">#REF!</definedName>
    <definedName name="ReportingUnit">#REF!</definedName>
  </definedNames>
  <calcPr calcId="145621"/>
</workbook>
</file>

<file path=xl/calcChain.xml><?xml version="1.0" encoding="utf-8"?>
<calcChain xmlns="http://schemas.openxmlformats.org/spreadsheetml/2006/main">
  <c r="I248" i="16" l="1"/>
  <c r="I243" i="16"/>
  <c r="I242" i="16"/>
  <c r="G102" i="16" s="1"/>
  <c r="I241" i="16"/>
  <c r="I240" i="16"/>
  <c r="G170" i="16" s="1"/>
  <c r="I239" i="16"/>
  <c r="I238" i="16"/>
  <c r="G101" i="16" s="1"/>
  <c r="I237" i="16"/>
  <c r="I236" i="16"/>
  <c r="G99" i="16" s="1"/>
  <c r="I235" i="16"/>
  <c r="I234" i="16"/>
  <c r="G97" i="16" s="1"/>
  <c r="I233" i="16"/>
  <c r="I232" i="16"/>
  <c r="G95" i="16" s="1"/>
  <c r="I231" i="16"/>
  <c r="I230" i="16"/>
  <c r="G93" i="16" s="1"/>
  <c r="I229" i="16"/>
  <c r="I228" i="16"/>
  <c r="E228" i="16"/>
  <c r="E227" i="16"/>
  <c r="I222" i="16"/>
  <c r="I221" i="16"/>
  <c r="I220" i="16"/>
  <c r="I219" i="16"/>
  <c r="I218" i="16"/>
  <c r="L217" i="16"/>
  <c r="K217" i="16"/>
  <c r="I217" i="16"/>
  <c r="I215" i="16"/>
  <c r="I214" i="16"/>
  <c r="I213" i="16"/>
  <c r="I212" i="16"/>
  <c r="I211" i="16"/>
  <c r="I210" i="16"/>
  <c r="I209" i="16"/>
  <c r="I208" i="16"/>
  <c r="I207" i="16"/>
  <c r="I206" i="16"/>
  <c r="I205" i="16"/>
  <c r="G205" i="16"/>
  <c r="I204" i="16"/>
  <c r="G204" i="16"/>
  <c r="I203" i="16"/>
  <c r="G203" i="16"/>
  <c r="I202" i="16"/>
  <c r="G202" i="16"/>
  <c r="I201" i="16"/>
  <c r="G201" i="16"/>
  <c r="I200" i="16"/>
  <c r="G200" i="16"/>
  <c r="I199" i="16"/>
  <c r="G199" i="16"/>
  <c r="I198" i="16"/>
  <c r="G198" i="16"/>
  <c r="I197" i="16"/>
  <c r="G197" i="16"/>
  <c r="I196" i="16"/>
  <c r="G196" i="16"/>
  <c r="I195" i="16"/>
  <c r="G195" i="16"/>
  <c r="I194" i="16"/>
  <c r="G194" i="16"/>
  <c r="I193" i="16"/>
  <c r="G193" i="16"/>
  <c r="I192" i="16"/>
  <c r="G192" i="16"/>
  <c r="I191" i="16"/>
  <c r="G191" i="16"/>
  <c r="L190" i="16"/>
  <c r="K190" i="16"/>
  <c r="I190" i="16"/>
  <c r="I187" i="16"/>
  <c r="I186" i="16"/>
  <c r="I185" i="16"/>
  <c r="L184" i="16"/>
  <c r="K184" i="16"/>
  <c r="I184" i="16"/>
  <c r="I182" i="16"/>
  <c r="I181" i="16"/>
  <c r="I180" i="16"/>
  <c r="I179" i="16"/>
  <c r="I178" i="16"/>
  <c r="I177" i="16"/>
  <c r="I176" i="16"/>
  <c r="I266" i="16" s="1"/>
  <c r="K175" i="16"/>
  <c r="I175" i="16"/>
  <c r="I171" i="16"/>
  <c r="G171" i="16"/>
  <c r="I170" i="16"/>
  <c r="I169" i="16"/>
  <c r="G169" i="16"/>
  <c r="K168" i="16"/>
  <c r="I168" i="16"/>
  <c r="I165" i="16"/>
  <c r="I164" i="16"/>
  <c r="I163" i="16"/>
  <c r="I162" i="16"/>
  <c r="I161" i="16"/>
  <c r="K160" i="16"/>
  <c r="I160" i="16"/>
  <c r="I158" i="16"/>
  <c r="K157" i="16"/>
  <c r="I157" i="16"/>
  <c r="I155" i="16"/>
  <c r="I154" i="16"/>
  <c r="I153" i="16"/>
  <c r="I152" i="16"/>
  <c r="I151" i="16"/>
  <c r="I150" i="16"/>
  <c r="I149" i="16"/>
  <c r="I147" i="16"/>
  <c r="I146" i="16"/>
  <c r="K145" i="16"/>
  <c r="I145" i="16"/>
  <c r="I140" i="16"/>
  <c r="I139" i="16"/>
  <c r="I260" i="16" s="1"/>
  <c r="I138" i="16"/>
  <c r="K137" i="16"/>
  <c r="I137" i="16"/>
  <c r="I135" i="16"/>
  <c r="I259" i="16" s="1"/>
  <c r="K134" i="16"/>
  <c r="I134" i="16"/>
  <c r="I130" i="16"/>
  <c r="I258" i="16" s="1"/>
  <c r="K129" i="16"/>
  <c r="I129" i="16"/>
  <c r="I126" i="16"/>
  <c r="I125" i="16"/>
  <c r="I124" i="16"/>
  <c r="I123" i="16"/>
  <c r="K122" i="16"/>
  <c r="I122" i="16"/>
  <c r="I119" i="16"/>
  <c r="I256" i="16" s="1"/>
  <c r="I118" i="16"/>
  <c r="K117" i="16"/>
  <c r="I117" i="16"/>
  <c r="I112" i="16"/>
  <c r="I111" i="16"/>
  <c r="K110" i="16"/>
  <c r="I110" i="16"/>
  <c r="I108" i="16"/>
  <c r="I254" i="16" s="1"/>
  <c r="K107" i="16"/>
  <c r="I107" i="16"/>
  <c r="I103" i="16"/>
  <c r="G103" i="16"/>
  <c r="I102" i="16"/>
  <c r="I101" i="16"/>
  <c r="I100" i="16"/>
  <c r="G100" i="16"/>
  <c r="I99" i="16"/>
  <c r="I98" i="16"/>
  <c r="G98" i="16"/>
  <c r="I97" i="16"/>
  <c r="I96" i="16"/>
  <c r="G96" i="16"/>
  <c r="I95" i="16"/>
  <c r="I94" i="16"/>
  <c r="G94" i="16"/>
  <c r="I93" i="16"/>
  <c r="I92" i="16"/>
  <c r="G92" i="16"/>
  <c r="G104" i="16" s="1"/>
  <c r="K91" i="16"/>
  <c r="I91" i="16"/>
  <c r="I85" i="16"/>
  <c r="I84" i="16"/>
  <c r="I83" i="16"/>
  <c r="I82" i="16"/>
  <c r="I81" i="16"/>
  <c r="I80" i="16"/>
  <c r="I79" i="16"/>
  <c r="K78" i="16"/>
  <c r="I78" i="16"/>
  <c r="I75" i="16"/>
  <c r="I74" i="16"/>
  <c r="I72" i="16"/>
  <c r="I71" i="16"/>
  <c r="I70" i="16"/>
  <c r="I69" i="16"/>
  <c r="K68" i="16"/>
  <c r="I68" i="16"/>
  <c r="I64" i="16"/>
  <c r="I63" i="16"/>
  <c r="I61" i="16"/>
  <c r="I60" i="16"/>
  <c r="I59" i="16"/>
  <c r="I58" i="16"/>
  <c r="I57" i="16"/>
  <c r="I56" i="16"/>
  <c r="I55" i="16"/>
  <c r="I53" i="16"/>
  <c r="I52" i="16"/>
  <c r="I51" i="16"/>
  <c r="K50" i="16"/>
  <c r="I50" i="16"/>
  <c r="I44" i="16"/>
  <c r="I43" i="16"/>
  <c r="I42" i="16"/>
  <c r="I41" i="16"/>
  <c r="I40" i="16"/>
  <c r="I39" i="16"/>
  <c r="I35" i="16"/>
  <c r="I34" i="16"/>
  <c r="I33" i="16"/>
  <c r="I32" i="16"/>
  <c r="I31" i="16"/>
  <c r="I30" i="16"/>
  <c r="G37" i="16" s="1"/>
  <c r="I29" i="16"/>
  <c r="I27" i="16"/>
  <c r="I26" i="16"/>
  <c r="I25" i="16"/>
  <c r="I24" i="16"/>
  <c r="I23" i="16"/>
  <c r="N22" i="16"/>
  <c r="N50" i="16" s="1"/>
  <c r="L22" i="16"/>
  <c r="L168" i="16" s="1"/>
  <c r="G78" i="16"/>
  <c r="I18" i="16"/>
  <c r="I17" i="16"/>
  <c r="I16" i="16"/>
  <c r="I15" i="16"/>
  <c r="I14" i="16"/>
  <c r="I12" i="16"/>
  <c r="I10" i="16"/>
  <c r="I9" i="16"/>
  <c r="I8" i="16"/>
  <c r="I7" i="16"/>
  <c r="L145" i="16" l="1"/>
  <c r="L157" i="16"/>
  <c r="L160" i="16"/>
  <c r="I268" i="16"/>
  <c r="I263" i="16"/>
  <c r="G28" i="16"/>
  <c r="G46" i="16" s="1"/>
  <c r="I250" i="16"/>
  <c r="I252" i="16"/>
  <c r="I253" i="16"/>
  <c r="I255" i="16"/>
  <c r="G120" i="16"/>
  <c r="I257" i="16"/>
  <c r="I264" i="16"/>
  <c r="I265" i="16"/>
  <c r="I267" i="16"/>
  <c r="I269" i="16"/>
  <c r="I270" i="16"/>
  <c r="I262" i="16"/>
  <c r="I249" i="16"/>
  <c r="G50" i="16"/>
  <c r="G66" i="16"/>
  <c r="G68" i="16"/>
  <c r="I251" i="16"/>
  <c r="G189" i="16"/>
  <c r="G175" i="16"/>
  <c r="G160" i="16"/>
  <c r="G145" i="16"/>
  <c r="G217" i="16"/>
  <c r="G184" i="16"/>
  <c r="G167" i="16"/>
  <c r="G137" i="16"/>
  <c r="G134" i="16"/>
  <c r="G129" i="16"/>
  <c r="G122" i="16"/>
  <c r="G117" i="16"/>
  <c r="G110" i="16"/>
  <c r="G107" i="16"/>
  <c r="N190" i="16"/>
  <c r="N160" i="16"/>
  <c r="N157" i="16"/>
  <c r="N145" i="16"/>
  <c r="N248" i="16"/>
  <c r="N228" i="16"/>
  <c r="N217" i="16"/>
  <c r="N184" i="16"/>
  <c r="N175" i="16"/>
  <c r="N168" i="16"/>
  <c r="N137" i="16"/>
  <c r="N134" i="16"/>
  <c r="N129" i="16"/>
  <c r="N122" i="16"/>
  <c r="N117" i="16"/>
  <c r="N110" i="16"/>
  <c r="N107" i="16"/>
  <c r="N91" i="16"/>
  <c r="N68" i="16"/>
  <c r="N78" i="16"/>
  <c r="G86" i="16"/>
  <c r="G90" i="16"/>
  <c r="G141" i="16"/>
  <c r="G148" i="16"/>
  <c r="L50" i="16"/>
  <c r="L68" i="16"/>
  <c r="G76" i="16"/>
  <c r="L78" i="16"/>
  <c r="L91" i="16"/>
  <c r="L107" i="16"/>
  <c r="L110" i="16"/>
  <c r="G113" i="16"/>
  <c r="L117" i="16"/>
  <c r="L122" i="16"/>
  <c r="G127" i="16"/>
  <c r="L129" i="16"/>
  <c r="L134" i="16"/>
  <c r="L137" i="16"/>
  <c r="Q45" i="10" l="1"/>
  <c r="Y10" i="11" l="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21" i="11"/>
  <c r="Y22" i="11"/>
  <c r="Y23" i="11"/>
  <c r="Y24" i="11"/>
  <c r="Y11" i="11"/>
  <c r="Y12" i="11"/>
  <c r="Y13" i="11"/>
  <c r="Y14" i="11"/>
  <c r="Y15" i="11"/>
  <c r="Y16" i="11"/>
  <c r="Y17" i="11"/>
  <c r="Y18" i="11"/>
  <c r="Y19" i="11"/>
  <c r="Y20" i="11"/>
  <c r="E1" i="5" l="1"/>
  <c r="B9" i="5"/>
  <c r="B3" i="5" l="1"/>
  <c r="C7" i="6" s="1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B7" i="6" l="1"/>
  <c r="A7" i="6"/>
  <c r="H7" i="6" l="1"/>
  <c r="L7" i="6"/>
  <c r="O7" i="6"/>
  <c r="N7" i="6"/>
  <c r="J7" i="6"/>
  <c r="P7" i="6"/>
  <c r="M7" i="6"/>
  <c r="I7" i="6"/>
  <c r="Q7" i="6"/>
  <c r="K7" i="6"/>
  <c r="G7" i="6"/>
  <c r="F7" i="6"/>
  <c r="Q45" i="6"/>
  <c r="B31" i="5"/>
  <c r="B27" i="5"/>
  <c r="B21" i="5"/>
  <c r="B18" i="5"/>
  <c r="B16" i="5"/>
  <c r="B12" i="5"/>
  <c r="B7" i="5"/>
  <c r="C11" i="6" s="1"/>
  <c r="B39" i="5"/>
  <c r="C43" i="6" s="1"/>
  <c r="B38" i="5"/>
  <c r="B37" i="5"/>
  <c r="B36" i="5"/>
  <c r="C39" i="6" s="1"/>
  <c r="B35" i="5"/>
  <c r="C38" i="6" s="1"/>
  <c r="B34" i="5"/>
  <c r="C37" i="6" s="1"/>
  <c r="B33" i="5"/>
  <c r="B32" i="5"/>
  <c r="C35" i="6" s="1"/>
  <c r="B30" i="5"/>
  <c r="B29" i="5"/>
  <c r="C32" i="6" s="1"/>
  <c r="B28" i="5"/>
  <c r="C31" i="6" s="1"/>
  <c r="B26" i="5"/>
  <c r="C29" i="6" s="1"/>
  <c r="B25" i="5"/>
  <c r="B24" i="5"/>
  <c r="C27" i="6" s="1"/>
  <c r="B23" i="5"/>
  <c r="B22" i="5"/>
  <c r="C25" i="6" s="1"/>
  <c r="B20" i="5"/>
  <c r="B19" i="5"/>
  <c r="C22" i="6" s="1"/>
  <c r="B17" i="5"/>
  <c r="C20" i="6" s="1"/>
  <c r="B15" i="5"/>
  <c r="C18" i="6" s="1"/>
  <c r="B14" i="5"/>
  <c r="B13" i="5"/>
  <c r="C16" i="6" s="1"/>
  <c r="B11" i="5"/>
  <c r="B10" i="5"/>
  <c r="C13" i="6" s="1"/>
  <c r="B8" i="5"/>
  <c r="C12" i="6" s="1"/>
  <c r="B6" i="5"/>
  <c r="C10" i="6" s="1"/>
  <c r="B5" i="5"/>
  <c r="C9" i="6" s="1"/>
  <c r="B4" i="5"/>
  <c r="C8" i="6" s="1"/>
  <c r="C14" i="6" l="1"/>
  <c r="C17" i="6"/>
  <c r="C23" i="6"/>
  <c r="C26" i="6"/>
  <c r="C28" i="6"/>
  <c r="C33" i="6"/>
  <c r="C36" i="6"/>
  <c r="C15" i="6"/>
  <c r="C21" i="6"/>
  <c r="C30" i="6"/>
  <c r="C41" i="6"/>
  <c r="C42" i="6"/>
  <c r="C19" i="6"/>
  <c r="C24" i="6"/>
  <c r="C34" i="6"/>
  <c r="Z10" i="11"/>
  <c r="AA10" i="11" s="1"/>
  <c r="B9" i="6"/>
  <c r="A9" i="6"/>
  <c r="B12" i="6"/>
  <c r="A12" i="6"/>
  <c r="B14" i="6"/>
  <c r="A14" i="6"/>
  <c r="B17" i="6"/>
  <c r="A17" i="6"/>
  <c r="B20" i="6"/>
  <c r="A20" i="6"/>
  <c r="B23" i="6"/>
  <c r="A23" i="6"/>
  <c r="B26" i="6"/>
  <c r="A26" i="6"/>
  <c r="B28" i="6"/>
  <c r="A28" i="6"/>
  <c r="B31" i="6"/>
  <c r="A31" i="6"/>
  <c r="B33" i="6"/>
  <c r="A33" i="6"/>
  <c r="B36" i="6"/>
  <c r="A36" i="6"/>
  <c r="B38" i="6"/>
  <c r="A38" i="6"/>
  <c r="C40" i="6"/>
  <c r="G1" i="1"/>
  <c r="G18" i="1" s="1"/>
  <c r="B43" i="6"/>
  <c r="A43" i="6"/>
  <c r="B15" i="6"/>
  <c r="A15" i="6"/>
  <c r="B21" i="6"/>
  <c r="A21" i="6"/>
  <c r="B30" i="6"/>
  <c r="A30" i="6"/>
  <c r="B8" i="6"/>
  <c r="A8" i="6"/>
  <c r="B10" i="6"/>
  <c r="A10" i="6"/>
  <c r="B13" i="6"/>
  <c r="A13" i="6"/>
  <c r="B16" i="6"/>
  <c r="A16" i="6"/>
  <c r="B18" i="6"/>
  <c r="A18" i="6"/>
  <c r="B22" i="6"/>
  <c r="A22" i="6"/>
  <c r="B25" i="6"/>
  <c r="A25" i="6"/>
  <c r="B27" i="6"/>
  <c r="A27" i="6"/>
  <c r="B29" i="6"/>
  <c r="A29" i="6"/>
  <c r="B32" i="6"/>
  <c r="A32" i="6"/>
  <c r="B35" i="6"/>
  <c r="A35" i="6"/>
  <c r="B37" i="6"/>
  <c r="A37" i="6"/>
  <c r="B39" i="6"/>
  <c r="A39" i="6"/>
  <c r="B41" i="6"/>
  <c r="A41" i="6"/>
  <c r="B11" i="6"/>
  <c r="A11" i="6"/>
  <c r="B19" i="6"/>
  <c r="A19" i="6"/>
  <c r="B24" i="6"/>
  <c r="A24" i="6"/>
  <c r="B34" i="6"/>
  <c r="A34" i="6"/>
  <c r="A42" i="6" l="1"/>
  <c r="B42" i="6"/>
  <c r="F43" i="6"/>
  <c r="Q34" i="6"/>
  <c r="O34" i="6"/>
  <c r="M34" i="6"/>
  <c r="K34" i="6"/>
  <c r="I34" i="6"/>
  <c r="G34" i="6"/>
  <c r="P34" i="6"/>
  <c r="N34" i="6"/>
  <c r="L34" i="6"/>
  <c r="J34" i="6"/>
  <c r="H34" i="6"/>
  <c r="F34" i="6"/>
  <c r="P24" i="6"/>
  <c r="N24" i="6"/>
  <c r="L24" i="6"/>
  <c r="J24" i="6"/>
  <c r="H24" i="6"/>
  <c r="Q24" i="6"/>
  <c r="O24" i="6"/>
  <c r="M24" i="6"/>
  <c r="K24" i="6"/>
  <c r="I24" i="6"/>
  <c r="G24" i="6"/>
  <c r="F24" i="6"/>
  <c r="Q19" i="6"/>
  <c r="O19" i="6"/>
  <c r="M19" i="6"/>
  <c r="K19" i="6"/>
  <c r="I19" i="6"/>
  <c r="G19" i="6"/>
  <c r="P19" i="6"/>
  <c r="N19" i="6"/>
  <c r="L19" i="6"/>
  <c r="J19" i="6"/>
  <c r="H19" i="6"/>
  <c r="F19" i="6"/>
  <c r="P11" i="6"/>
  <c r="N11" i="6"/>
  <c r="L11" i="6"/>
  <c r="J11" i="6"/>
  <c r="H11" i="6"/>
  <c r="Q11" i="6"/>
  <c r="O11" i="6"/>
  <c r="M11" i="6"/>
  <c r="K11" i="6"/>
  <c r="I11" i="6"/>
  <c r="G11" i="6"/>
  <c r="F11" i="6"/>
  <c r="O41" i="6"/>
  <c r="K41" i="6"/>
  <c r="G41" i="6"/>
  <c r="Q41" i="6"/>
  <c r="M41" i="6"/>
  <c r="I41" i="6"/>
  <c r="F41" i="6"/>
  <c r="J41" i="6"/>
  <c r="N41" i="6"/>
  <c r="P41" i="6"/>
  <c r="H41" i="6"/>
  <c r="L41" i="6"/>
  <c r="Q39" i="6"/>
  <c r="M39" i="6"/>
  <c r="I39" i="6"/>
  <c r="O39" i="6"/>
  <c r="K39" i="6"/>
  <c r="G39" i="6"/>
  <c r="F39" i="6"/>
  <c r="P39" i="6"/>
  <c r="J39" i="6"/>
  <c r="N39" i="6"/>
  <c r="H39" i="6"/>
  <c r="L39" i="6"/>
  <c r="O37" i="6"/>
  <c r="K37" i="6"/>
  <c r="G37" i="6"/>
  <c r="Q37" i="6"/>
  <c r="M37" i="6"/>
  <c r="I37" i="6"/>
  <c r="F37" i="6"/>
  <c r="J37" i="6"/>
  <c r="N37" i="6"/>
  <c r="P37" i="6"/>
  <c r="H37" i="6"/>
  <c r="L37" i="6"/>
  <c r="Q35" i="6"/>
  <c r="M35" i="6"/>
  <c r="I35" i="6"/>
  <c r="O35" i="6"/>
  <c r="K35" i="6"/>
  <c r="G35" i="6"/>
  <c r="F35" i="6"/>
  <c r="P35" i="6"/>
  <c r="J35" i="6"/>
  <c r="N35" i="6"/>
  <c r="H35" i="6"/>
  <c r="L35" i="6"/>
  <c r="P32" i="6"/>
  <c r="N32" i="6"/>
  <c r="L32" i="6"/>
  <c r="J32" i="6"/>
  <c r="H32" i="6"/>
  <c r="Q32" i="6"/>
  <c r="O32" i="6"/>
  <c r="M32" i="6"/>
  <c r="K32" i="6"/>
  <c r="I32" i="6"/>
  <c r="G32" i="6"/>
  <c r="F32" i="6"/>
  <c r="Q29" i="6"/>
  <c r="O29" i="6"/>
  <c r="M29" i="6"/>
  <c r="K29" i="6"/>
  <c r="I29" i="6"/>
  <c r="G29" i="6"/>
  <c r="P29" i="6"/>
  <c r="N29" i="6"/>
  <c r="L29" i="6"/>
  <c r="J29" i="6"/>
  <c r="H29" i="6"/>
  <c r="F29" i="6"/>
  <c r="Q27" i="6"/>
  <c r="O27" i="6"/>
  <c r="M27" i="6"/>
  <c r="K27" i="6"/>
  <c r="I27" i="6"/>
  <c r="G27" i="6"/>
  <c r="P27" i="6"/>
  <c r="N27" i="6"/>
  <c r="L27" i="6"/>
  <c r="J27" i="6"/>
  <c r="H27" i="6"/>
  <c r="F27" i="6"/>
  <c r="Q25" i="6"/>
  <c r="O25" i="6"/>
  <c r="M25" i="6"/>
  <c r="K25" i="6"/>
  <c r="I25" i="6"/>
  <c r="G25" i="6"/>
  <c r="P25" i="6"/>
  <c r="N25" i="6"/>
  <c r="L25" i="6"/>
  <c r="J25" i="6"/>
  <c r="H25" i="6"/>
  <c r="F25" i="6"/>
  <c r="P22" i="6"/>
  <c r="N22" i="6"/>
  <c r="L22" i="6"/>
  <c r="J22" i="6"/>
  <c r="H22" i="6"/>
  <c r="Q22" i="6"/>
  <c r="O22" i="6"/>
  <c r="M22" i="6"/>
  <c r="K22" i="6"/>
  <c r="I22" i="6"/>
  <c r="G22" i="6"/>
  <c r="F22" i="6"/>
  <c r="P18" i="6"/>
  <c r="N18" i="6"/>
  <c r="L18" i="6"/>
  <c r="J18" i="6"/>
  <c r="H18" i="6"/>
  <c r="Q18" i="6"/>
  <c r="O18" i="6"/>
  <c r="M18" i="6"/>
  <c r="K18" i="6"/>
  <c r="I18" i="6"/>
  <c r="G18" i="6"/>
  <c r="F18" i="6"/>
  <c r="P16" i="6"/>
  <c r="N16" i="6"/>
  <c r="L16" i="6"/>
  <c r="J16" i="6"/>
  <c r="H16" i="6"/>
  <c r="Q16" i="6"/>
  <c r="O16" i="6"/>
  <c r="M16" i="6"/>
  <c r="K16" i="6"/>
  <c r="I16" i="6"/>
  <c r="G16" i="6"/>
  <c r="F16" i="6"/>
  <c r="P13" i="6"/>
  <c r="N13" i="6"/>
  <c r="L13" i="6"/>
  <c r="J13" i="6"/>
  <c r="H13" i="6"/>
  <c r="Q13" i="6"/>
  <c r="O13" i="6"/>
  <c r="M13" i="6"/>
  <c r="K13" i="6"/>
  <c r="I13" i="6"/>
  <c r="G13" i="6"/>
  <c r="F13" i="6"/>
  <c r="Q10" i="6"/>
  <c r="O10" i="6"/>
  <c r="M10" i="6"/>
  <c r="K10" i="6"/>
  <c r="I10" i="6"/>
  <c r="G10" i="6"/>
  <c r="F10" i="6"/>
  <c r="P10" i="6"/>
  <c r="N10" i="6"/>
  <c r="L10" i="6"/>
  <c r="J10" i="6"/>
  <c r="H10" i="6"/>
  <c r="Q8" i="6"/>
  <c r="O8" i="6"/>
  <c r="M8" i="6"/>
  <c r="K8" i="6"/>
  <c r="I8" i="6"/>
  <c r="G8" i="6"/>
  <c r="F8" i="6"/>
  <c r="P8" i="6"/>
  <c r="N8" i="6"/>
  <c r="L8" i="6"/>
  <c r="J8" i="6"/>
  <c r="H8" i="6"/>
  <c r="P30" i="6"/>
  <c r="N30" i="6"/>
  <c r="L30" i="6"/>
  <c r="J30" i="6"/>
  <c r="H30" i="6"/>
  <c r="Q30" i="6"/>
  <c r="O30" i="6"/>
  <c r="M30" i="6"/>
  <c r="K30" i="6"/>
  <c r="I30" i="6"/>
  <c r="G30" i="6"/>
  <c r="F30" i="6"/>
  <c r="Q21" i="6"/>
  <c r="O21" i="6"/>
  <c r="M21" i="6"/>
  <c r="K21" i="6"/>
  <c r="I21" i="6"/>
  <c r="G21" i="6"/>
  <c r="P21" i="6"/>
  <c r="N21" i="6"/>
  <c r="L21" i="6"/>
  <c r="J21" i="6"/>
  <c r="H21" i="6"/>
  <c r="F21" i="6"/>
  <c r="P15" i="6"/>
  <c r="N15" i="6"/>
  <c r="L15" i="6"/>
  <c r="J15" i="6"/>
  <c r="H15" i="6"/>
  <c r="Q15" i="6"/>
  <c r="O15" i="6"/>
  <c r="M15" i="6"/>
  <c r="K15" i="6"/>
  <c r="I15" i="6"/>
  <c r="G15" i="6"/>
  <c r="F15" i="6"/>
  <c r="Q43" i="6"/>
  <c r="O43" i="6"/>
  <c r="M43" i="6"/>
  <c r="K43" i="6"/>
  <c r="I43" i="6"/>
  <c r="G43" i="6"/>
  <c r="P43" i="6"/>
  <c r="N43" i="6"/>
  <c r="L43" i="6"/>
  <c r="J43" i="6"/>
  <c r="H43" i="6"/>
  <c r="E101" i="1"/>
  <c r="E97" i="1"/>
  <c r="E93" i="1"/>
  <c r="G139" i="1"/>
  <c r="G127" i="1"/>
  <c r="G123" i="1"/>
  <c r="G113" i="1"/>
  <c r="G104" i="1"/>
  <c r="G100" i="1"/>
  <c r="G96" i="1"/>
  <c r="G92" i="1"/>
  <c r="G83" i="1"/>
  <c r="G79" i="1"/>
  <c r="G12" i="1"/>
  <c r="E100" i="1"/>
  <c r="E96" i="1"/>
  <c r="E92" i="1"/>
  <c r="G138" i="1"/>
  <c r="G126" i="1"/>
  <c r="G120" i="1"/>
  <c r="G112" i="1"/>
  <c r="G103" i="1"/>
  <c r="G99" i="1"/>
  <c r="G95" i="1"/>
  <c r="G86" i="1"/>
  <c r="G82" i="1"/>
  <c r="G76" i="1"/>
  <c r="G10" i="1"/>
  <c r="G15" i="1"/>
  <c r="G23" i="1"/>
  <c r="G27" i="1"/>
  <c r="G31" i="1"/>
  <c r="G35" i="1"/>
  <c r="G41" i="1"/>
  <c r="G46" i="1"/>
  <c r="G55" i="1"/>
  <c r="G59" i="1"/>
  <c r="G64" i="1"/>
  <c r="G71" i="1"/>
  <c r="G8" i="1"/>
  <c r="G14" i="1"/>
  <c r="G24" i="1"/>
  <c r="G28" i="1"/>
  <c r="G32" i="1"/>
  <c r="G37" i="1"/>
  <c r="G42" i="1"/>
  <c r="G51" i="1"/>
  <c r="G56" i="1"/>
  <c r="G60" i="1"/>
  <c r="G66" i="1"/>
  <c r="G72" i="1"/>
  <c r="E103" i="1"/>
  <c r="E99" i="1"/>
  <c r="E95" i="1"/>
  <c r="G141" i="1"/>
  <c r="G135" i="1"/>
  <c r="G125" i="1"/>
  <c r="G119" i="1"/>
  <c r="G111" i="1"/>
  <c r="G102" i="1"/>
  <c r="G98" i="1"/>
  <c r="G94" i="1"/>
  <c r="G85" i="1"/>
  <c r="G81" i="1"/>
  <c r="G75" i="1"/>
  <c r="E102" i="1"/>
  <c r="E98" i="1"/>
  <c r="E94" i="1"/>
  <c r="G140" i="1"/>
  <c r="G130" i="1"/>
  <c r="G124" i="1"/>
  <c r="G118" i="1"/>
  <c r="G108" i="1"/>
  <c r="G101" i="1"/>
  <c r="G97" i="1"/>
  <c r="G93" i="1"/>
  <c r="G84" i="1"/>
  <c r="G80" i="1"/>
  <c r="G9" i="1"/>
  <c r="G17" i="1"/>
  <c r="G25" i="1"/>
  <c r="G29" i="1"/>
  <c r="G33" i="1"/>
  <c r="G39" i="1"/>
  <c r="G43" i="1"/>
  <c r="G52" i="1"/>
  <c r="G57" i="1"/>
  <c r="G61" i="1"/>
  <c r="G69" i="1"/>
  <c r="G74" i="1"/>
  <c r="G11" i="1"/>
  <c r="G16" i="1"/>
  <c r="G26" i="1"/>
  <c r="G30" i="1"/>
  <c r="G34" i="1"/>
  <c r="G40" i="1"/>
  <c r="G44" i="1"/>
  <c r="G53" i="1"/>
  <c r="G58" i="1"/>
  <c r="G63" i="1"/>
  <c r="G70" i="1"/>
  <c r="Q38" i="6"/>
  <c r="O38" i="6"/>
  <c r="M38" i="6"/>
  <c r="K38" i="6"/>
  <c r="I38" i="6"/>
  <c r="G38" i="6"/>
  <c r="P38" i="6"/>
  <c r="N38" i="6"/>
  <c r="L38" i="6"/>
  <c r="J38" i="6"/>
  <c r="H38" i="6"/>
  <c r="F38" i="6"/>
  <c r="P36" i="6"/>
  <c r="N36" i="6"/>
  <c r="L36" i="6"/>
  <c r="J36" i="6"/>
  <c r="H36" i="6"/>
  <c r="Q36" i="6"/>
  <c r="O36" i="6"/>
  <c r="M36" i="6"/>
  <c r="K36" i="6"/>
  <c r="I36" i="6"/>
  <c r="G36" i="6"/>
  <c r="F36" i="6"/>
  <c r="O33" i="6"/>
  <c r="K33" i="6"/>
  <c r="G33" i="6"/>
  <c r="Q33" i="6"/>
  <c r="M33" i="6"/>
  <c r="I33" i="6"/>
  <c r="F33" i="6"/>
  <c r="J33" i="6"/>
  <c r="N33" i="6"/>
  <c r="P33" i="6"/>
  <c r="H33" i="6"/>
  <c r="L33" i="6"/>
  <c r="Q31" i="6"/>
  <c r="O31" i="6"/>
  <c r="K31" i="6"/>
  <c r="I31" i="6"/>
  <c r="G31" i="6"/>
  <c r="M31" i="6"/>
  <c r="J31" i="6"/>
  <c r="H31" i="6"/>
  <c r="F31" i="6"/>
  <c r="P31" i="6"/>
  <c r="N31" i="6"/>
  <c r="L31" i="6"/>
  <c r="P28" i="6"/>
  <c r="N28" i="6"/>
  <c r="L28" i="6"/>
  <c r="J28" i="6"/>
  <c r="H28" i="6"/>
  <c r="Q28" i="6"/>
  <c r="O28" i="6"/>
  <c r="M28" i="6"/>
  <c r="K28" i="6"/>
  <c r="I28" i="6"/>
  <c r="G28" i="6"/>
  <c r="F28" i="6"/>
  <c r="P26" i="6"/>
  <c r="N26" i="6"/>
  <c r="L26" i="6"/>
  <c r="J26" i="6"/>
  <c r="H26" i="6"/>
  <c r="Q26" i="6"/>
  <c r="O26" i="6"/>
  <c r="M26" i="6"/>
  <c r="K26" i="6"/>
  <c r="I26" i="6"/>
  <c r="G26" i="6"/>
  <c r="F26" i="6"/>
  <c r="Q23" i="6"/>
  <c r="O23" i="6"/>
  <c r="M23" i="6"/>
  <c r="K23" i="6"/>
  <c r="I23" i="6"/>
  <c r="G23" i="6"/>
  <c r="P23" i="6"/>
  <c r="N23" i="6"/>
  <c r="L23" i="6"/>
  <c r="J23" i="6"/>
  <c r="H23" i="6"/>
  <c r="F23" i="6"/>
  <c r="P20" i="6"/>
  <c r="N20" i="6"/>
  <c r="L20" i="6"/>
  <c r="J20" i="6"/>
  <c r="H20" i="6"/>
  <c r="Q20" i="6"/>
  <c r="O20" i="6"/>
  <c r="M20" i="6"/>
  <c r="K20" i="6"/>
  <c r="I20" i="6"/>
  <c r="G20" i="6"/>
  <c r="F20" i="6"/>
  <c r="Q17" i="6"/>
  <c r="O17" i="6"/>
  <c r="M17" i="6"/>
  <c r="K17" i="6"/>
  <c r="I17" i="6"/>
  <c r="G17" i="6"/>
  <c r="P17" i="6"/>
  <c r="N17" i="6"/>
  <c r="L17" i="6"/>
  <c r="J17" i="6"/>
  <c r="H17" i="6"/>
  <c r="F17" i="6"/>
  <c r="Q14" i="6"/>
  <c r="O14" i="6"/>
  <c r="M14" i="6"/>
  <c r="K14" i="6"/>
  <c r="I14" i="6"/>
  <c r="G14" i="6"/>
  <c r="F14" i="6"/>
  <c r="P14" i="6"/>
  <c r="N14" i="6"/>
  <c r="L14" i="6"/>
  <c r="J14" i="6"/>
  <c r="H14" i="6"/>
  <c r="Q12" i="6"/>
  <c r="O12" i="6"/>
  <c r="M12" i="6"/>
  <c r="K12" i="6"/>
  <c r="I12" i="6"/>
  <c r="G12" i="6"/>
  <c r="F12" i="6"/>
  <c r="P12" i="6"/>
  <c r="N12" i="6"/>
  <c r="L12" i="6"/>
  <c r="J12" i="6"/>
  <c r="H12" i="6"/>
  <c r="P9" i="6"/>
  <c r="N9" i="6"/>
  <c r="L9" i="6"/>
  <c r="J9" i="6"/>
  <c r="H9" i="6"/>
  <c r="Q9" i="6"/>
  <c r="O9" i="6"/>
  <c r="M9" i="6"/>
  <c r="K9" i="6"/>
  <c r="I9" i="6"/>
  <c r="G9" i="6"/>
  <c r="F9" i="6"/>
  <c r="B40" i="6"/>
  <c r="A40" i="6"/>
  <c r="Q42" i="6" l="1"/>
  <c r="O42" i="6"/>
  <c r="J42" i="6"/>
  <c r="P42" i="6"/>
  <c r="K42" i="6"/>
  <c r="F42" i="6"/>
  <c r="L42" i="6"/>
  <c r="Z45" i="11" s="1"/>
  <c r="AA45" i="11" s="1"/>
  <c r="G42" i="6"/>
  <c r="M42" i="6"/>
  <c r="H42" i="6"/>
  <c r="N42" i="6"/>
  <c r="I42" i="6"/>
  <c r="Z38" i="11"/>
  <c r="AA38" i="11" s="1"/>
  <c r="Z42" i="11"/>
  <c r="AA42" i="11" s="1"/>
  <c r="Z12" i="11"/>
  <c r="AA12" i="11" s="1"/>
  <c r="Z23" i="11"/>
  <c r="AA23" i="11" s="1"/>
  <c r="Z29" i="11"/>
  <c r="AA29" i="11" s="1"/>
  <c r="Z31" i="11"/>
  <c r="AA31" i="11" s="1"/>
  <c r="Z34" i="11"/>
  <c r="AA34" i="11" s="1"/>
  <c r="Z39" i="11"/>
  <c r="AA39" i="11" s="1"/>
  <c r="Z18" i="11"/>
  <c r="AA18" i="11" s="1"/>
  <c r="Z33" i="11"/>
  <c r="AA33" i="11" s="1"/>
  <c r="Z16" i="11"/>
  <c r="AA16" i="11" s="1"/>
  <c r="Z19" i="11"/>
  <c r="AA19" i="11" s="1"/>
  <c r="Z21" i="11"/>
  <c r="AA21" i="11" s="1"/>
  <c r="Z25" i="11"/>
  <c r="AA25" i="11" s="1"/>
  <c r="Z35" i="11"/>
  <c r="AA35" i="11" s="1"/>
  <c r="Z14" i="11"/>
  <c r="AA14" i="11" s="1"/>
  <c r="Z27" i="11"/>
  <c r="AA27" i="11" s="1"/>
  <c r="Z15" i="11"/>
  <c r="AA15" i="11" s="1"/>
  <c r="Z17" i="11"/>
  <c r="AA17" i="11" s="1"/>
  <c r="Z20" i="11"/>
  <c r="AA20" i="11" s="1"/>
  <c r="Z26" i="11"/>
  <c r="AA26" i="11" s="1"/>
  <c r="Z36" i="11"/>
  <c r="AA36" i="11" s="1"/>
  <c r="Z41" i="11"/>
  <c r="AA41" i="11" s="1"/>
  <c r="Z46" i="11"/>
  <c r="AA46" i="11" s="1"/>
  <c r="Z24" i="11"/>
  <c r="AA24" i="11" s="1"/>
  <c r="Z11" i="11"/>
  <c r="AA11" i="11" s="1"/>
  <c r="Z13" i="11"/>
  <c r="AA13" i="11" s="1"/>
  <c r="Z28" i="11"/>
  <c r="AA28" i="11" s="1"/>
  <c r="Z30" i="11"/>
  <c r="AA30" i="11" s="1"/>
  <c r="Z32" i="11"/>
  <c r="AA32" i="11" s="1"/>
  <c r="Z40" i="11"/>
  <c r="AA40" i="11" s="1"/>
  <c r="Z44" i="11"/>
  <c r="AA44" i="11" s="1"/>
  <c r="Z22" i="11"/>
  <c r="AA22" i="11" s="1"/>
  <c r="Z37" i="11"/>
  <c r="AA37" i="11" s="1"/>
  <c r="P40" i="6"/>
  <c r="N40" i="6"/>
  <c r="L40" i="6"/>
  <c r="J40" i="6"/>
  <c r="H40" i="6"/>
  <c r="Q40" i="6"/>
  <c r="O40" i="6"/>
  <c r="M40" i="6"/>
  <c r="K40" i="6"/>
  <c r="I40" i="6"/>
  <c r="G40" i="6"/>
  <c r="F40" i="6"/>
  <c r="G107" i="1"/>
  <c r="G110" i="1"/>
  <c r="G117" i="1"/>
  <c r="G134" i="1"/>
  <c r="G137" i="1"/>
  <c r="G90" i="1"/>
  <c r="G129" i="1"/>
  <c r="G122" i="1"/>
  <c r="G50" i="1"/>
  <c r="G78" i="1"/>
  <c r="G68" i="1"/>
  <c r="Z43" i="11" l="1"/>
  <c r="AA43" i="11" s="1"/>
</calcChain>
</file>

<file path=xl/sharedStrings.xml><?xml version="1.0" encoding="utf-8"?>
<sst xmlns="http://schemas.openxmlformats.org/spreadsheetml/2006/main" count="1503" uniqueCount="682">
  <si>
    <t>USD</t>
  </si>
  <si>
    <t>EUR</t>
  </si>
  <si>
    <t>GBP</t>
  </si>
  <si>
    <t>JPY</t>
  </si>
  <si>
    <t>CNY</t>
  </si>
  <si>
    <t>HKD</t>
  </si>
  <si>
    <t>AUD</t>
  </si>
  <si>
    <t>CAD</t>
  </si>
  <si>
    <t>CHF</t>
  </si>
  <si>
    <t>INR</t>
  </si>
  <si>
    <t>BRL</t>
  </si>
  <si>
    <t>BE</t>
  </si>
  <si>
    <t>DE</t>
  </si>
  <si>
    <t>DK</t>
  </si>
  <si>
    <t>ES</t>
  </si>
  <si>
    <t>FR</t>
  </si>
  <si>
    <t>GB</t>
  </si>
  <si>
    <t>IT</t>
  </si>
  <si>
    <t>NL</t>
  </si>
  <si>
    <t>NO</t>
  </si>
  <si>
    <t>SE</t>
  </si>
  <si>
    <t>NOK</t>
  </si>
  <si>
    <t>DKK</t>
  </si>
  <si>
    <t>SEK</t>
  </si>
  <si>
    <t>IFRS</t>
  </si>
  <si>
    <t>Checks</t>
  </si>
  <si>
    <t>&lt;select&gt;</t>
  </si>
  <si>
    <t>RUB</t>
  </si>
  <si>
    <t>General Bank Data</t>
  </si>
  <si>
    <t>3.e.(1)</t>
  </si>
  <si>
    <t>(1) Securities received in SFTs that are recognised as assets</t>
  </si>
  <si>
    <t>(1) Unconditionally cancellable credit card commitments</t>
  </si>
  <si>
    <t xml:space="preserve">(2) Other unconditionally cancellable commitments </t>
  </si>
  <si>
    <t>Size Indicator</t>
  </si>
  <si>
    <t>(1) Secured debt securities</t>
  </si>
  <si>
    <t>(2) Senior unsecured debt securities</t>
  </si>
  <si>
    <t>(3) Subordinated debt securities</t>
  </si>
  <si>
    <t xml:space="preserve">(4) Commercial paper </t>
  </si>
  <si>
    <t>(2) Potential future exposure</t>
  </si>
  <si>
    <t>a. Deposits due to depository institutions</t>
  </si>
  <si>
    <t>b. Deposits due to non-depository financial institutions</t>
  </si>
  <si>
    <t>2.b.</t>
  </si>
  <si>
    <t>2.c.</t>
  </si>
  <si>
    <t>2.d.</t>
  </si>
  <si>
    <t>2.e.</t>
  </si>
  <si>
    <t>2.g.</t>
  </si>
  <si>
    <t>3.a.</t>
  </si>
  <si>
    <t>3.b.</t>
  </si>
  <si>
    <t>3.d.</t>
  </si>
  <si>
    <t>a. Secured debt securities</t>
  </si>
  <si>
    <t>b. Senior unsecured debt securities</t>
  </si>
  <si>
    <t>c. Subordinated debt securities</t>
  </si>
  <si>
    <t>d. Commercial paper</t>
  </si>
  <si>
    <t>e. Certificates of deposit</t>
  </si>
  <si>
    <t>f. Common equity</t>
  </si>
  <si>
    <t>3.f.</t>
  </si>
  <si>
    <t>b. Gross value of securities financing transactions (SFTs)</t>
  </si>
  <si>
    <t>c. Counterparty exposure of SFTs</t>
  </si>
  <si>
    <t>d. Other assets</t>
  </si>
  <si>
    <t>1.a.(1)</t>
  </si>
  <si>
    <t>1.a.(2)</t>
  </si>
  <si>
    <t>(1) Country code</t>
  </si>
  <si>
    <t>1.a.(3)</t>
  </si>
  <si>
    <t>1.b.(1)</t>
  </si>
  <si>
    <t>1.b.(2)</t>
  </si>
  <si>
    <t>1.b.(3)</t>
  </si>
  <si>
    <t>1.b.(4)</t>
  </si>
  <si>
    <t>1.b.(5)</t>
  </si>
  <si>
    <t>(2) Potential future exposure of derivatives contracts</t>
  </si>
  <si>
    <t>(3) Unconditionally cancellable commitments</t>
  </si>
  <si>
    <t>(5) Investment value in the consolidated entities</t>
  </si>
  <si>
    <t>3.c.(1)</t>
  </si>
  <si>
    <t>3.c.(2)</t>
  </si>
  <si>
    <t>3.c.(3)</t>
  </si>
  <si>
    <t>3.c.(4)</t>
  </si>
  <si>
    <t>3.c.(5)</t>
  </si>
  <si>
    <t>3.c.(6)</t>
  </si>
  <si>
    <t>3.e.(2)</t>
  </si>
  <si>
    <t>4.a.</t>
  </si>
  <si>
    <t>4.b.</t>
  </si>
  <si>
    <t>4.c.</t>
  </si>
  <si>
    <t>4.d.</t>
  </si>
  <si>
    <t>4.e.(1)</t>
  </si>
  <si>
    <t>4.e.(2)</t>
  </si>
  <si>
    <t>5.a.</t>
  </si>
  <si>
    <t>5.b.</t>
  </si>
  <si>
    <t>5.c.</t>
  </si>
  <si>
    <t>5.d.</t>
  </si>
  <si>
    <t>5.e.</t>
  </si>
  <si>
    <t>5.f.</t>
  </si>
  <si>
    <t>5.g.</t>
  </si>
  <si>
    <t>Interconnectedness Indicators</t>
  </si>
  <si>
    <t>2.d.(1)</t>
  </si>
  <si>
    <t>l. Entities consolidated for accounting purposes but not for risk-based regulatory purposes:</t>
  </si>
  <si>
    <t>m. Regulatory adjustments</t>
  </si>
  <si>
    <t>2.g.(1)</t>
  </si>
  <si>
    <t>2.g.(2)</t>
  </si>
  <si>
    <t>2.h.</t>
  </si>
  <si>
    <t>2.i.</t>
  </si>
  <si>
    <t>2.j.</t>
  </si>
  <si>
    <t>2.k.</t>
  </si>
  <si>
    <t>2.l.(1)</t>
  </si>
  <si>
    <t>2.l.(2)</t>
  </si>
  <si>
    <t>2.l.(3)</t>
  </si>
  <si>
    <t>2.l.(4)</t>
  </si>
  <si>
    <t>2.l.(5)</t>
  </si>
  <si>
    <t>2.m.</t>
  </si>
  <si>
    <t>Substitutability/Financial Institution Infrastructure Indicators</t>
  </si>
  <si>
    <t>6.a.</t>
  </si>
  <si>
    <t>6.b.</t>
  </si>
  <si>
    <t>6.c.</t>
  </si>
  <si>
    <t>6.d.</t>
  </si>
  <si>
    <t>6.e.</t>
  </si>
  <si>
    <t>6.f.</t>
  </si>
  <si>
    <t>6.g.</t>
  </si>
  <si>
    <t>6.h.</t>
  </si>
  <si>
    <t>6.i.</t>
  </si>
  <si>
    <t>6.j.</t>
  </si>
  <si>
    <t>6.k.</t>
  </si>
  <si>
    <t>6.l.</t>
  </si>
  <si>
    <t>a. Equity underwriting activity</t>
  </si>
  <si>
    <t>b. Debt underwriting activity</t>
  </si>
  <si>
    <t>8.a.</t>
  </si>
  <si>
    <t>8.b.</t>
  </si>
  <si>
    <t>Complexity indicators</t>
  </si>
  <si>
    <t>a. OTC derivatives cleared through a central counterparty</t>
  </si>
  <si>
    <t>b. OTC derivatives settled bilaterally</t>
  </si>
  <si>
    <t>9.a.</t>
  </si>
  <si>
    <t>9.b.</t>
  </si>
  <si>
    <t>9.c.</t>
  </si>
  <si>
    <t>a. Held-for-trading securities (HFT)</t>
  </si>
  <si>
    <t>b. Available-for-sale securities (AFS)</t>
  </si>
  <si>
    <t>c. Trading and AFS securities that meet the definition of Level 1 assets</t>
  </si>
  <si>
    <t>Response</t>
  </si>
  <si>
    <t>10.a.</t>
  </si>
  <si>
    <t xml:space="preserve">10.c. </t>
  </si>
  <si>
    <t>10.d.</t>
  </si>
  <si>
    <t>11.a.</t>
  </si>
  <si>
    <t>Cross-Jurisdictional Activity Indicators</t>
  </si>
  <si>
    <t>13.a.</t>
  </si>
  <si>
    <t>13.b.</t>
  </si>
  <si>
    <t>13.a.(1)</t>
  </si>
  <si>
    <t>a. Total liabilities</t>
  </si>
  <si>
    <t>b. Retail funding</t>
  </si>
  <si>
    <t>e. Total net revenue</t>
  </si>
  <si>
    <t>h. Gross value of cash borrowed and gross fair value of securities borrowed in SFTs</t>
  </si>
  <si>
    <t>i. Gross positive fair value of over-the-counter (OTC) derivatives transactions</t>
  </si>
  <si>
    <t xml:space="preserve">k. Number of jurisdictions </t>
  </si>
  <si>
    <t>a. Foreign liabilities (excluding derivatives and local liabilities in local currency)</t>
  </si>
  <si>
    <t>b. Local liabilities in local currency (excluding derivatives activity)</t>
  </si>
  <si>
    <t>14.a.</t>
  </si>
  <si>
    <t>14.b.</t>
  </si>
  <si>
    <t>14.c.</t>
  </si>
  <si>
    <t>14.d.</t>
  </si>
  <si>
    <t>14.e.</t>
  </si>
  <si>
    <t>14.f.</t>
  </si>
  <si>
    <t>14.g.</t>
  </si>
  <si>
    <t>14.h.</t>
  </si>
  <si>
    <t>14.k.</t>
  </si>
  <si>
    <t>b. General Information provided by the reporting institution:</t>
  </si>
  <si>
    <t>g. Gross value of cash lent and gross fair value of securities lent in SFTs</t>
  </si>
  <si>
    <t>Amount in single units</t>
  </si>
  <si>
    <t>(1) Any foreign liabilities to related offices included in item 13.a.</t>
  </si>
  <si>
    <t>10.b.</t>
  </si>
  <si>
    <t>2.a.</t>
  </si>
  <si>
    <t>2.f.</t>
  </si>
  <si>
    <t>c. OTC derivatives indicator (sum of items 9.a and 9.b)</t>
  </si>
  <si>
    <t>c. Wholesale funding dependence ratio (the difference between items 14.a and 14.b, divided by 14.a)</t>
  </si>
  <si>
    <t>Checks Summary</t>
  </si>
  <si>
    <t>MXN</t>
  </si>
  <si>
    <t>NZD</t>
  </si>
  <si>
    <t>g. Preferred shares and any other forms of subordinated funding not captured in item 5.c.</t>
  </si>
  <si>
    <t xml:space="preserve">(1) Certificates of deposit </t>
  </si>
  <si>
    <t>3.a.(1)</t>
  </si>
  <si>
    <t>f. Intra-financial system assets indicator (sum of items 3.a, 3.b through 3.c.(5), 3.d, 3.e.(1), and 3.e.(2), minus 3.c.(6))</t>
  </si>
  <si>
    <t>Remarks</t>
  </si>
  <si>
    <t>in million EUR</t>
  </si>
  <si>
    <t>Indicator value</t>
  </si>
  <si>
    <t>a. Australian dollars</t>
  </si>
  <si>
    <t>b. Brazilian real</t>
  </si>
  <si>
    <t>c. Canadian dollars</t>
  </si>
  <si>
    <t>d. Swiss francs</t>
  </si>
  <si>
    <t>e. Chinese yuan</t>
  </si>
  <si>
    <t>f. Euros</t>
  </si>
  <si>
    <t>g. British pounds</t>
  </si>
  <si>
    <t>h. Hong Kong dollars</t>
  </si>
  <si>
    <t>i. Indian rupee</t>
  </si>
  <si>
    <t>j. Japanese yen</t>
  </si>
  <si>
    <t>k. Swedish krona</t>
  </si>
  <si>
    <t>l. United States dollars</t>
  </si>
  <si>
    <t>(2) New Zealand dollars</t>
  </si>
  <si>
    <t>Reported in</t>
  </si>
  <si>
    <t>(1) Mexican pesos</t>
  </si>
  <si>
    <t>(3) Russian rubles</t>
  </si>
  <si>
    <t>k. Mexican pesos</t>
  </si>
  <si>
    <t>l. New Zealand dollars</t>
  </si>
  <si>
    <t>m. Russian rubles</t>
  </si>
  <si>
    <t>n. Swedish krona</t>
  </si>
  <si>
    <t>o. United States dollars</t>
  </si>
  <si>
    <t>15.a.</t>
  </si>
  <si>
    <t>15.b.</t>
  </si>
  <si>
    <t>15.c.</t>
  </si>
  <si>
    <t>15.d.</t>
  </si>
  <si>
    <t>15.e.</t>
  </si>
  <si>
    <t>(2) Bank name</t>
  </si>
  <si>
    <t>d. Trading and AFS securities that meet the definition of Level 2 assets, with haircuts</t>
  </si>
  <si>
    <t>GSIB</t>
  </si>
  <si>
    <t>Explanation of large year-over-year changes</t>
  </si>
  <si>
    <t>End-2014 G-SIB Assessment Exercise</t>
  </si>
  <si>
    <t>(1) Australian dollars</t>
  </si>
  <si>
    <t>(2) Brazilian real</t>
  </si>
  <si>
    <t>(3) Canadian dollars</t>
  </si>
  <si>
    <t>(4) Swiss francs</t>
  </si>
  <si>
    <t>(5) Chinese yuan</t>
  </si>
  <si>
    <t>(6) Euros</t>
  </si>
  <si>
    <t>(7) British pounds</t>
  </si>
  <si>
    <t>(8) Hong Kong dollars</t>
  </si>
  <si>
    <t>(9) Indian rupee</t>
  </si>
  <si>
    <t>(10) Japanese yen</t>
  </si>
  <si>
    <t>(11) Swedish krona</t>
  </si>
  <si>
    <t>(12) United States dollars</t>
  </si>
  <si>
    <t>(13) Mexican pesos</t>
  </si>
  <si>
    <t>(14) New Zealand dollars</t>
  </si>
  <si>
    <t>(15) Russian rubles</t>
  </si>
  <si>
    <t>Comments</t>
  </si>
  <si>
    <t>m. Other Sections</t>
  </si>
  <si>
    <t>Supervisor Comments</t>
  </si>
  <si>
    <t>a. Section 2 - Total exposures indicator</t>
  </si>
  <si>
    <t>b. Section 3 - Intra-financial system assets indicator</t>
  </si>
  <si>
    <t>c. Section 4 - Intra-financial system liabilities indicator</t>
  </si>
  <si>
    <t>d. Section 5 - Securities outstanding indicator</t>
  </si>
  <si>
    <t>e. Section 6 - Payments activity indicator</t>
  </si>
  <si>
    <t>f. Section 7 - Assets under custody indicator</t>
  </si>
  <si>
    <t>g. Section 8 - Underwriting activity indicator</t>
  </si>
  <si>
    <t>h. Section 9 - OTC derivatives indicator</t>
  </si>
  <si>
    <t>i. Section 10 - Trading and AFS securities indicator</t>
  </si>
  <si>
    <t>j. Section 11 - Level 3 assets indicator</t>
  </si>
  <si>
    <t>k. Section 12 - Cross-jurisdictional claims indicator</t>
  </si>
  <si>
    <t>l. Section 13 - Cross-jurisdictional liabilities indicator</t>
  </si>
  <si>
    <t>(3) Section 14 - Ancillary Indicators</t>
  </si>
  <si>
    <t>(2) Item 1.b - General Information provided by the reporting institution</t>
  </si>
  <si>
    <t>a. Counterparty exposure of derivatives contracts</t>
  </si>
  <si>
    <t>f. Potential future exposure of derivative contracts</t>
  </si>
  <si>
    <t>e. Total on-balance-sheet items (sum of items 2.a, 2.b, 2.c, and 2.d, minus 2.d.(1))</t>
  </si>
  <si>
    <t>(1) On-balance-sheet assets</t>
  </si>
  <si>
    <t>(4) Other off-balance-sheet commitments</t>
  </si>
  <si>
    <t>k. Total off-balance-sheet items (sum of items 2.f, 2.g, and 2.h through 2.j, minus 0.9 times the sum of items 2.g.(1) and 2.g.(2))</t>
  </si>
  <si>
    <t>(5) Equity securities</t>
  </si>
  <si>
    <t>(1) Net positive fair value</t>
  </si>
  <si>
    <t>(1) Net negative fair value</t>
  </si>
  <si>
    <t>(1) Item 1.a - General information provided by the supervisory authority</t>
    <phoneticPr fontId="7" type="noConversion"/>
  </si>
  <si>
    <t>a. Assets under custody indicator</t>
    <phoneticPr fontId="7" type="noConversion"/>
  </si>
  <si>
    <t>a. General information provided by the relevant supervisory authority:</t>
    <phoneticPr fontId="7" type="noConversion"/>
  </si>
  <si>
    <t>n. Total exposures indicator (sum of items 2.e, 2.k, 2.l.(1), 2.l.(2), 0.1 times 2.l.(3), 2.l.(4), minus the sum of items 2.l.(5) and 2.m)</t>
    <phoneticPr fontId="7" type="noConversion"/>
  </si>
  <si>
    <t>2.n.</t>
    <phoneticPr fontId="7" type="noConversion"/>
  </si>
  <si>
    <t>4.f.</t>
    <phoneticPr fontId="7" type="noConversion"/>
  </si>
  <si>
    <t>h. Securities outstanding indicator (sum of items 5.a through 5.g)</t>
    <phoneticPr fontId="7" type="noConversion"/>
  </si>
  <si>
    <t>5.h.</t>
    <phoneticPr fontId="7" type="noConversion"/>
  </si>
  <si>
    <t>6.m.</t>
    <phoneticPr fontId="7" type="noConversion"/>
  </si>
  <si>
    <t>m. Payments activity indicator (sum of items 6.a through 6.l)</t>
    <phoneticPr fontId="7" type="noConversion"/>
  </si>
  <si>
    <t>7.a.</t>
    <phoneticPr fontId="7" type="noConversion"/>
  </si>
  <si>
    <t>8.c.</t>
    <phoneticPr fontId="7" type="noConversion"/>
  </si>
  <si>
    <t>c. Underwriting activity indicator (sum of items 8.a and 8.b)</t>
    <phoneticPr fontId="7" type="noConversion"/>
  </si>
  <si>
    <t>e. Trading and AFS securities indicator (sum of items 10.a and 10.b, minus the sum of 10.c and 10.d)</t>
    <phoneticPr fontId="7" type="noConversion"/>
  </si>
  <si>
    <t>10.e.</t>
    <phoneticPr fontId="7" type="noConversion"/>
  </si>
  <si>
    <t>c. Cross-jurisdictional liabilities indicator (sum of items 13.a and 13.b, minus 13.a.(1))</t>
    <phoneticPr fontId="7" type="noConversion"/>
  </si>
  <si>
    <t>13.c.</t>
    <phoneticPr fontId="7" type="noConversion"/>
  </si>
  <si>
    <t>12.a.</t>
    <phoneticPr fontId="7" type="noConversion"/>
  </si>
  <si>
    <t>Memorandum Items</t>
  </si>
  <si>
    <t>Ancillary Data</t>
  </si>
  <si>
    <t>Comments Regarding Data Quality/Availability</t>
  </si>
  <si>
    <t>16.a.</t>
  </si>
  <si>
    <t>16.b.</t>
  </si>
  <si>
    <t>16.c.</t>
  </si>
  <si>
    <t>16.d.</t>
  </si>
  <si>
    <t>16.e.</t>
  </si>
  <si>
    <t>18.j.</t>
  </si>
  <si>
    <t>18.k.</t>
  </si>
  <si>
    <t>20.a.</t>
  </si>
  <si>
    <t>20.b.</t>
  </si>
  <si>
    <t>20.c.</t>
  </si>
  <si>
    <t>20.d.</t>
  </si>
  <si>
    <t>20.e.</t>
  </si>
  <si>
    <t>20.f.</t>
  </si>
  <si>
    <t>20.g.</t>
  </si>
  <si>
    <t>20.h.</t>
  </si>
  <si>
    <t>20.i.</t>
  </si>
  <si>
    <t>20.j.</t>
  </si>
  <si>
    <t>20.k.</t>
  </si>
  <si>
    <t>20.l.</t>
  </si>
  <si>
    <t>20.m.</t>
  </si>
  <si>
    <t>20.n.</t>
  </si>
  <si>
    <t>20.o.</t>
  </si>
  <si>
    <t>21.a.</t>
  </si>
  <si>
    <t>21.b.</t>
  </si>
  <si>
    <t>21.c.</t>
  </si>
  <si>
    <t>21.d.</t>
  </si>
  <si>
    <t>21.e.</t>
  </si>
  <si>
    <t>21.f.</t>
  </si>
  <si>
    <t>21.g.</t>
  </si>
  <si>
    <t>21.h.</t>
  </si>
  <si>
    <t>21.i.</t>
  </si>
  <si>
    <t>21.j.</t>
  </si>
  <si>
    <t>21.k.</t>
  </si>
  <si>
    <t>21.l.</t>
  </si>
  <si>
    <t>21.m.(1)</t>
  </si>
  <si>
    <t>21.m.(2)</t>
  </si>
  <si>
    <t>21.m.(3)</t>
  </si>
  <si>
    <t>21.m.(4)</t>
  </si>
  <si>
    <t>21.m.(5)</t>
  </si>
  <si>
    <t>a. Book value of equities for which a market price is unavailable</t>
  </si>
  <si>
    <t>b. Certificates of mutual banks</t>
  </si>
  <si>
    <t>c. Minority interest</t>
  </si>
  <si>
    <t>17.a.</t>
  </si>
  <si>
    <t>17.b.</t>
  </si>
  <si>
    <t>17.c.</t>
  </si>
  <si>
    <t>18.a.(1)</t>
  </si>
  <si>
    <t>18.a.(2)</t>
  </si>
  <si>
    <t>18.a.(3)</t>
  </si>
  <si>
    <t>18.a.(4)</t>
  </si>
  <si>
    <t>18.a.(5)</t>
  </si>
  <si>
    <t>18.a.(6)</t>
  </si>
  <si>
    <t>18.a.(7)</t>
  </si>
  <si>
    <t>18.a.(8)</t>
  </si>
  <si>
    <t>18.a.(9)</t>
  </si>
  <si>
    <t>18.a.(10)</t>
  </si>
  <si>
    <t>18.a.(11)</t>
  </si>
  <si>
    <t>18.a.(12)</t>
  </si>
  <si>
    <t>18.a.(13)</t>
  </si>
  <si>
    <t>18.b.</t>
  </si>
  <si>
    <t>b  Trading volume of securities issued by sovereigns</t>
  </si>
  <si>
    <t>c. Trading volume of securities issued by other public sector entities</t>
  </si>
  <si>
    <t>d. Trading volume of other fixed income securities</t>
  </si>
  <si>
    <t>e. Trading volume of listed equities</t>
  </si>
  <si>
    <t>f. Trading volume of all other securities</t>
  </si>
  <si>
    <t>18.c.</t>
  </si>
  <si>
    <t>18.d.</t>
  </si>
  <si>
    <t>18.e.</t>
  </si>
  <si>
    <t>18.f.</t>
  </si>
  <si>
    <t>18.g.</t>
  </si>
  <si>
    <t>18.h.</t>
  </si>
  <si>
    <t>18.i.</t>
  </si>
  <si>
    <t>a. Foreign derivative claims on an ultimate risk basis</t>
  </si>
  <si>
    <t>b. Foreign derivative liabilities (aggregation of BIS locational statistics)</t>
  </si>
  <si>
    <t>c. Foreign liabilities on an immediate risk basis (including derivatives)</t>
  </si>
  <si>
    <t>d. Foreign derivative liabilities on an immediate risk basis</t>
  </si>
  <si>
    <t>e. Foreign debt security liabilities on an immediate risk basis</t>
  </si>
  <si>
    <t>19.a.</t>
  </si>
  <si>
    <t>19.b.</t>
  </si>
  <si>
    <t>19.c.</t>
  </si>
  <si>
    <t>19.d.</t>
  </si>
  <si>
    <t>19.e.</t>
  </si>
  <si>
    <t>(4) Section 15 - Ancillary Items</t>
  </si>
  <si>
    <t>(5) Section 16 - Size Items</t>
  </si>
  <si>
    <t>(6) Section 17 - Interconnectedness Items</t>
  </si>
  <si>
    <t>(7) Section 18 - Substitutability/Financial Infra. Items</t>
  </si>
  <si>
    <t>(8) Section 19 - Cross-Jurisdictional Activity Items</t>
  </si>
  <si>
    <t>(9) Section 20 - Average Exchange Rates</t>
  </si>
  <si>
    <t>21.m.(6)</t>
  </si>
  <si>
    <t>21.m.(7)</t>
  </si>
  <si>
    <t>21.m.(8)</t>
  </si>
  <si>
    <t>21.m.(9)</t>
  </si>
  <si>
    <t>Section 1 - General Information</t>
  </si>
  <si>
    <t>Section 2 - Total Exposures</t>
  </si>
  <si>
    <t>Section 3 - Intra-Financial System Assets</t>
  </si>
  <si>
    <t>Section 4 - Intra-Financial System Liabilities</t>
  </si>
  <si>
    <t>Section 5 - Securities Outstanding</t>
  </si>
  <si>
    <t>Section 6 - Payments made in the reporting year (excluding intragroup payments)</t>
  </si>
  <si>
    <t>Section 7 - Assets Under Custody</t>
  </si>
  <si>
    <t>Section 8 - Underwritten Transactions in Debt and Equity Markets</t>
  </si>
  <si>
    <t>Section 9 - Notional Amount of Over-the-Counter (OTC) Derivatives</t>
  </si>
  <si>
    <t>Section 10 - Trading and Available-for-Sale Securities</t>
  </si>
  <si>
    <t>Section 11 - Level 3 Assets</t>
  </si>
  <si>
    <t>Section 12 - Cross-Jurisdictional Claims</t>
  </si>
  <si>
    <t>Section 13 - Cross-Jurisdictional Liabilities</t>
  </si>
  <si>
    <t>Section 14 - Ancillary Indicators</t>
  </si>
  <si>
    <t>Section 15 - Ancillary Items</t>
  </si>
  <si>
    <t>Section 16 - Size Items</t>
  </si>
  <si>
    <t>Section 17 - Interconnectedness Items</t>
  </si>
  <si>
    <t>Section 18 - Substitutability/Financial Infra. Items</t>
  </si>
  <si>
    <t>Section 19 - Cross-Jurisdictional Activity Items</t>
  </si>
  <si>
    <t>Section 20 - Average Exchange Rates</t>
  </si>
  <si>
    <t>Section 21 - Indicator Values</t>
  </si>
  <si>
    <t>18.a.(15)</t>
  </si>
  <si>
    <t>h. Initial margin posted to CCPs for the reporting group’s own account</t>
  </si>
  <si>
    <t>i. Default fund contributions to CCPs</t>
  </si>
  <si>
    <t>j. Other facilities to CCPs</t>
  </si>
  <si>
    <t>k. Provision of settlement services in connection with centrally-cleared transactions</t>
  </si>
  <si>
    <t>(6) Offsetting short positions in relation to the specific equity securities included in item 3.c.(5)</t>
  </si>
  <si>
    <t>g. Initial margin posted to central counterparties (CCPs) on behalf of clients</t>
  </si>
  <si>
    <t>a. Level 3 assets indicator (Assets valued using Level 3 measurement inputs)</t>
  </si>
  <si>
    <t>a. Cross-jurisdictional claims indicator (Total foreign claims on an ultimate risk basis)</t>
  </si>
  <si>
    <t>a. Total exposures prior to regulatory adjustments (January 2014 definition)</t>
  </si>
  <si>
    <t>b. Total exposures for the calculation of the leverage ratio (January 2014 definition)</t>
  </si>
  <si>
    <t>15.f.(1)</t>
  </si>
  <si>
    <t>15.f.(2)</t>
  </si>
  <si>
    <t>15.f.(3)</t>
  </si>
  <si>
    <t>d. Certificates of deposit included in items 4.a and 4.b</t>
  </si>
  <si>
    <t>e. Held-to-maturity securities</t>
  </si>
  <si>
    <t>f. Payments made in the reporting year</t>
  </si>
  <si>
    <t>18.a.(14)</t>
  </si>
  <si>
    <t>g. Notional amount of off-balance-sheet items with a 0% credit conversion factor</t>
  </si>
  <si>
    <t>h. Notional amount of off-balance-sheet items with a 20% credit conversion factor</t>
  </si>
  <si>
    <t>i. Notional amount of off-balance-sheet items with a 50% credit conversion factor</t>
  </si>
  <si>
    <t>j. Notional amount of off-balance-sheet items with a 100% credit conversion factor</t>
  </si>
  <si>
    <t>a. Total assets under the regulatory scope of consolidation</t>
  </si>
  <si>
    <t>b. Total assets under the accounting scope of consolidation</t>
  </si>
  <si>
    <t>d. Total gross revenue</t>
  </si>
  <si>
    <t>f. Foreign net revenue</t>
  </si>
  <si>
    <t>b. Unused portion of committed lines extended to other financial institutions</t>
  </si>
  <si>
    <t>a. Funds deposited with or lent to other financial institutions</t>
  </si>
  <si>
    <t>c. Holdings of securities issued by other financial institutions:</t>
  </si>
  <si>
    <t>e. Over-the-counter derivatives with other financial institutions that have a net positive fair value:</t>
  </si>
  <si>
    <t>c. Unused portion of committed lines obtained from other financial institutions</t>
  </si>
  <si>
    <t>e. Over-the-counter derivatives with other financial institutions that have a net negative fair value:</t>
  </si>
  <si>
    <t>c. Loans obtained from other financial institutions</t>
  </si>
  <si>
    <t>a. Payments made as a correspondent for other banks</t>
  </si>
  <si>
    <t>d. Net positive current exposure of securities financing transactions with other financial institutions</t>
  </si>
  <si>
    <t>d. Net negative current exposure of securities financing transactions with other financial institutions</t>
  </si>
  <si>
    <t>g. Total exposures including investments in insurance subs outside the regulatory scope of consolidation</t>
  </si>
  <si>
    <t>16.g.</t>
  </si>
  <si>
    <t>e. Total off-balance-sheet assets of insurance subsidiaries gross of intragroup exposures</t>
  </si>
  <si>
    <t>f. Total off-balance-sheet assets of insurance subsidiaries net of non-insurance intragroup exposures</t>
  </si>
  <si>
    <t>16.f.</t>
  </si>
  <si>
    <t>c. Total assets of insurance subsidiaries gross of intragroup exposures</t>
  </si>
  <si>
    <t>d. Total assets of insurance subsidiaries net of non-insurance intragroup exposures</t>
  </si>
  <si>
    <t>&lt;&lt;Does the total include insurance subsidiaries?&gt;&gt;</t>
  </si>
  <si>
    <t>&lt;&lt;What types of transactions were netted out?&gt;&gt;</t>
  </si>
  <si>
    <t>(1) Reporting unit</t>
  </si>
  <si>
    <t>(2) Accounting standard</t>
  </si>
  <si>
    <t>(3) Date of public disclosure (yyyy-mm-dd)</t>
  </si>
  <si>
    <t>(4) Language of public disclosure</t>
  </si>
  <si>
    <t>(5) Web address of public disclosure</t>
  </si>
  <si>
    <t>1.a.(4)</t>
  </si>
  <si>
    <t>1.a.(5)</t>
  </si>
  <si>
    <t>1.a.(6)</t>
  </si>
  <si>
    <t>(3) Reporting date (yyyy-mm-dd)</t>
  </si>
  <si>
    <t>(4) Reporting currency</t>
  </si>
  <si>
    <t>(5) Euro conversion rate</t>
  </si>
  <si>
    <t>(6) Submission date (yyyy-mm-dd)</t>
  </si>
  <si>
    <t>bank name</t>
  </si>
  <si>
    <t>shortcode</t>
  </si>
  <si>
    <t>country</t>
  </si>
  <si>
    <t>bank</t>
  </si>
  <si>
    <t>ABN Amro</t>
  </si>
  <si>
    <t>ABN</t>
  </si>
  <si>
    <t>Banca Monte dei Paschi di Siena</t>
  </si>
  <si>
    <t>MPS</t>
  </si>
  <si>
    <t>Banque Postale</t>
  </si>
  <si>
    <t>POS</t>
  </si>
  <si>
    <t>Barclays</t>
  </si>
  <si>
    <t>UK</t>
  </si>
  <si>
    <t>BAR</t>
  </si>
  <si>
    <t>BBVA</t>
  </si>
  <si>
    <t>BBV</t>
  </si>
  <si>
    <t>BNP Paribas</t>
  </si>
  <si>
    <t>BNP</t>
  </si>
  <si>
    <t>BPCE</t>
  </si>
  <si>
    <t>BPC</t>
  </si>
  <si>
    <t>Credit Agricole</t>
  </si>
  <si>
    <t>CAG</t>
  </si>
  <si>
    <t>Credit Mutuel</t>
  </si>
  <si>
    <t>CMU</t>
  </si>
  <si>
    <t>Danske Bank</t>
  </si>
  <si>
    <t>DAN</t>
  </si>
  <si>
    <t>DNB</t>
  </si>
  <si>
    <t>Erste Group</t>
  </si>
  <si>
    <t>AT</t>
  </si>
  <si>
    <t>ERS</t>
  </si>
  <si>
    <t>Handelsbanken</t>
  </si>
  <si>
    <t>HAN</t>
  </si>
  <si>
    <t>HSBC</t>
  </si>
  <si>
    <t>HSB</t>
  </si>
  <si>
    <t>ING</t>
  </si>
  <si>
    <t>Intesa Sanpaolo</t>
  </si>
  <si>
    <t>INT</t>
  </si>
  <si>
    <t>KBC</t>
  </si>
  <si>
    <t>La Caixa</t>
  </si>
  <si>
    <t>CAI</t>
  </si>
  <si>
    <t>Lloyds</t>
  </si>
  <si>
    <t>LOY</t>
  </si>
  <si>
    <t>Nationwide</t>
  </si>
  <si>
    <t>NAT</t>
  </si>
  <si>
    <t>Nordea</t>
  </si>
  <si>
    <t>NOR</t>
  </si>
  <si>
    <t>Rabobank</t>
  </si>
  <si>
    <t>RAB</t>
  </si>
  <si>
    <t>RBS</t>
  </si>
  <si>
    <t>Santander</t>
  </si>
  <si>
    <t>SAN</t>
  </si>
  <si>
    <t>SEB</t>
  </si>
  <si>
    <t>Societe Generale</t>
  </si>
  <si>
    <t>SOC</t>
  </si>
  <si>
    <t>Standard Chartered</t>
  </si>
  <si>
    <t>STC</t>
  </si>
  <si>
    <t>Swedbank</t>
  </si>
  <si>
    <t>SWE</t>
  </si>
  <si>
    <t>Unicredit</t>
  </si>
  <si>
    <t>UNI</t>
  </si>
  <si>
    <t>Bayern LB</t>
  </si>
  <si>
    <t>BLB</t>
  </si>
  <si>
    <t>Commerzbank</t>
  </si>
  <si>
    <t>COM</t>
  </si>
  <si>
    <t>Deutsche Bank</t>
  </si>
  <si>
    <t>DEB</t>
  </si>
  <si>
    <t>DZ Bank</t>
  </si>
  <si>
    <t>DZB</t>
  </si>
  <si>
    <t>Helaba</t>
  </si>
  <si>
    <t>HLB</t>
  </si>
  <si>
    <t>LBBW</t>
  </si>
  <si>
    <t>LBW</t>
  </si>
  <si>
    <t>NordLB</t>
  </si>
  <si>
    <t>NLB</t>
  </si>
  <si>
    <t xml:space="preserve">Bank name:  </t>
  </si>
  <si>
    <t>Amount in specified currency</t>
  </si>
  <si>
    <t>(million EUR)</t>
  </si>
  <si>
    <t>EBA small logo</t>
  </si>
  <si>
    <t>Categories</t>
  </si>
  <si>
    <t>Size</t>
  </si>
  <si>
    <t>Interconnectedness</t>
  </si>
  <si>
    <t>Substitutability/Financial Institution Infrastructure</t>
  </si>
  <si>
    <t>Complexity</t>
  </si>
  <si>
    <t>Cross-Jurisdictional Activity</t>
  </si>
  <si>
    <t>Indicators</t>
  </si>
  <si>
    <t>Bank name</t>
  </si>
  <si>
    <t>Intra-financial system assets</t>
  </si>
  <si>
    <t>Intra-financial system liabilities</t>
  </si>
  <si>
    <t>Securities outstanding</t>
  </si>
  <si>
    <t xml:space="preserve">Payments activity </t>
  </si>
  <si>
    <t>Assets under custody</t>
  </si>
  <si>
    <t>Underwriting activity</t>
  </si>
  <si>
    <t>Trading and AFS securities</t>
  </si>
  <si>
    <t>Level 3 assets</t>
  </si>
  <si>
    <t>Cross-jurisdictional claims</t>
  </si>
  <si>
    <t>Cross-jurisdictional liabilities</t>
  </si>
  <si>
    <t>Produced  on:</t>
  </si>
  <si>
    <t>BE_KBC</t>
  </si>
  <si>
    <t>NO_DNB</t>
  </si>
  <si>
    <t>IT_INT</t>
  </si>
  <si>
    <t>IT_MPS</t>
  </si>
  <si>
    <t>IT_UNI</t>
  </si>
  <si>
    <t>UK_STC</t>
  </si>
  <si>
    <t>DE_BLB</t>
  </si>
  <si>
    <t>DE_COM</t>
  </si>
  <si>
    <t>DE_DEB</t>
  </si>
  <si>
    <t>DE_DZB</t>
  </si>
  <si>
    <t>DE_HLB</t>
  </si>
  <si>
    <t>DE_LBW</t>
  </si>
  <si>
    <t>DE_NLB</t>
  </si>
  <si>
    <t>DK_DAN</t>
  </si>
  <si>
    <t>FR_BPC</t>
  </si>
  <si>
    <t>FR_CMU</t>
  </si>
  <si>
    <t>FR_POS</t>
  </si>
  <si>
    <t>NL_ABN</t>
  </si>
  <si>
    <t>NL_ING</t>
  </si>
  <si>
    <t>NL_RAB</t>
  </si>
  <si>
    <t>UK_BAR</t>
  </si>
  <si>
    <t>UK_HSB</t>
  </si>
  <si>
    <t>UK_LOY</t>
  </si>
  <si>
    <t>UK_NAT</t>
  </si>
  <si>
    <t>UK_RBS</t>
  </si>
  <si>
    <t>Flag currency</t>
  </si>
  <si>
    <t>a. General information provided by the relevant supervisory authority:</t>
  </si>
  <si>
    <t>DnBNOR</t>
  </si>
  <si>
    <t>Intesa</t>
  </si>
  <si>
    <t>MonteDeiPaschi</t>
  </si>
  <si>
    <t>StandardChartered</t>
  </si>
  <si>
    <t>BayernLB</t>
  </si>
  <si>
    <t>Deutsche</t>
  </si>
  <si>
    <t>DzBank</t>
  </si>
  <si>
    <t>DanskeBank</t>
  </si>
  <si>
    <t>CreditMutuel</t>
  </si>
  <si>
    <t>Postale</t>
  </si>
  <si>
    <t>English</t>
  </si>
  <si>
    <t>ITALIAN</t>
  </si>
  <si>
    <t>ENG</t>
  </si>
  <si>
    <t>German</t>
  </si>
  <si>
    <t>German / English</t>
  </si>
  <si>
    <t>English / German</t>
  </si>
  <si>
    <t>german</t>
  </si>
  <si>
    <t>French</t>
  </si>
  <si>
    <t>https://www.dnb.no/en/about-us/investor-relations/capital-adequacy-framework.html?la=EN&amp;site=DNB_NO</t>
  </si>
  <si>
    <t>http://www.group.intesasanpaolo.com/scriptIsir0/si09/governance/ita_assessment_methodology.jsp</t>
  </si>
  <si>
    <t>http://b.mps.it/go/gsibs14</t>
  </si>
  <si>
    <t>https://www.unicreditgroup.eu/content/dam/unicreditgroup/documents/en/investors/financial-reports/2014/GSIBs_Disclosure_Dec-31-2014-ENG.pdf</t>
  </si>
  <si>
    <t>http://files.shareholder.com/downloads/STANCHAR/21942380x0x824957/6E8EA210-E46B-495F-8BB2-B439F545D7BF/Standard_Chartered_PLC_2014_G-SII_disclosure.pdf</t>
  </si>
  <si>
    <t>Systemrelevanz-Meldungen</t>
  </si>
  <si>
    <t>https://www.commerzbank.de/media/aktionaere/fremdkapitalgeber/Detailed_G-SIB_Data_Disclosure_End_2014.pdf</t>
  </si>
  <si>
    <t>https://www.dzbank.com/content/dam/dzbank_com/en/home/profile/investor_relations/pdf_dokumente/Berichte2014/Global_Sifis_2014_englisch.pdf</t>
  </si>
  <si>
    <t>http://buba.helaba.de</t>
  </si>
  <si>
    <t>http://www.lbbw.de/media/investor_relations/pdf_investorrelations/2015/LBBW_Datenerhebung_zur_Ermittlung_der_global_systemrelevanten_Institute_2014.pdf</t>
  </si>
  <si>
    <t>https://www.nordlb.com/fileadmin/redaktion_en/branchen/investorrelations/geschaeftsberichte/2014/NORDLB_Systemic_Importance_Announcement_31-Dec-2014.pdf</t>
  </si>
  <si>
    <t>http://www.bpce.fr/Investisseur/Information-reglementee/Publications-reglementaires</t>
  </si>
  <si>
    <t>https://www.creditmutuel.fr/groupecm/fr/publications/rapports-annuels.html</t>
  </si>
  <si>
    <t>https://www.labanquepostale.fr/groupe/Investisseur/information_reglementee/publications-reglementees.html</t>
  </si>
  <si>
    <t>http://www.ing.com/ING-in-Society/Sustainability/Stakeholder-engagement/Global-systemically-important-bank-indicators.htm</t>
  </si>
  <si>
    <t>https://www.rabobank.com/en/images/global-systemically-important-banks.pdf</t>
  </si>
  <si>
    <t>http://www.barclays.com/content/dam/barclayspublic/docs/InvestorRelations/IRNewsPresentations/2015News/Barclays_G-SII_external_disclosure_Dec2014.pdf</t>
  </si>
  <si>
    <t>http://www.hsbc.com/investor-relations/financial-and-regulatory-reports</t>
  </si>
  <si>
    <t>http://www.nationwide.co.uk/about/corporate-information/results-and-accounts#xtab:2014-2015</t>
  </si>
  <si>
    <t>http://investors.rbs.com/results-centre/archived-group-results/2014.aspx</t>
  </si>
  <si>
    <t>n. Total exposures indicator (sum of items 2.e, 2.k, 2.l.(1), 2.l.(2), 0.1 times 2.l.(3), 2.l.(4), minus the sum of items 2.l.(5) and 2.m)</t>
  </si>
  <si>
    <t>f. Intra-financial system liabilities indicator (sum of items 4.a through 4.e.(2))</t>
  </si>
  <si>
    <t>h. Securities outstanding indicator (sum of items 5.a through 5.g)</t>
  </si>
  <si>
    <t>currency</t>
  </si>
  <si>
    <t>c</t>
  </si>
  <si>
    <t>converted</t>
  </si>
  <si>
    <t>m. Payments activity indicator (sum of items 6.a through 6.l)</t>
  </si>
  <si>
    <t>a. Assets under custody indicator</t>
  </si>
  <si>
    <t>c. Underwriting activity indicator (sum of items 8.a and 8.b)</t>
  </si>
  <si>
    <t>e. Trading and AFS securities indicator (sum of items 10.a and 10.b, minus the sum of 10.c and 10.d)</t>
  </si>
  <si>
    <t>c. Cross-jurisdictional liabilities indicator (sum of items 13.a and 13.b, minus 13.a.(1))</t>
  </si>
  <si>
    <t xml:space="preserve"> </t>
  </si>
  <si>
    <t>Amount</t>
  </si>
  <si>
    <t>2.n.</t>
    <phoneticPr fontId="7" type="noConversion"/>
  </si>
  <si>
    <t>f. Intra-financial system liabilities indicator (sum of items 4.a through 4.e.(2))</t>
    <phoneticPr fontId="7" type="noConversion"/>
  </si>
  <si>
    <t>h. Securities outstanding indicator (sum of items 5.a through 5.g)</t>
    <phoneticPr fontId="7" type="noConversion"/>
  </si>
  <si>
    <t>m. Payments activity indicator (sum of items 6.a through 6.l)</t>
    <phoneticPr fontId="7" type="noConversion"/>
  </si>
  <si>
    <t>c. Underwriting activity indicator (sum of items 8.a and 8.b)</t>
    <phoneticPr fontId="7" type="noConversion"/>
  </si>
  <si>
    <t>8.c.</t>
    <phoneticPr fontId="7" type="noConversion"/>
  </si>
  <si>
    <t>10.e.</t>
    <phoneticPr fontId="7" type="noConversion"/>
  </si>
  <si>
    <t>c. Cross-jurisdictional liabilities indicator (sum of items 13.a and 13.b, minus 13.a.(1))</t>
    <phoneticPr fontId="7" type="noConversion"/>
  </si>
  <si>
    <t>13.c.</t>
    <phoneticPr fontId="7" type="noConversion"/>
  </si>
  <si>
    <t>14.i.</t>
    <phoneticPr fontId="7" type="noConversion"/>
  </si>
  <si>
    <t>j. Gross negative fair value of OTC derivatives transactions</t>
    <phoneticPr fontId="7" type="noConversion"/>
  </si>
  <si>
    <t>14.j.</t>
    <phoneticPr fontId="7" type="noConversion"/>
  </si>
  <si>
    <t>AT_ERS</t>
  </si>
  <si>
    <t>Erste Group Bank AG</t>
  </si>
  <si>
    <t>FR_SOC</t>
  </si>
  <si>
    <t>FR_BNP</t>
  </si>
  <si>
    <t>SE_HAN</t>
  </si>
  <si>
    <t>FR_CAG</t>
  </si>
  <si>
    <t>SE_NOR</t>
  </si>
  <si>
    <t>SE_SEB</t>
  </si>
  <si>
    <t>SE_SWE</t>
  </si>
  <si>
    <t>SocieteGenerale</t>
  </si>
  <si>
    <t>BnpParibas</t>
  </si>
  <si>
    <t>CreditAgricole</t>
  </si>
  <si>
    <t>http://www.societegenerale.com/sites/default/files/documents/Pilier%20III/2015/SOCIETE_GENERALE_FR-MPG_End-2014G-SIB%20template.pdf</t>
  </si>
  <si>
    <t>https://invest.bnpparibas.com/en/conferences-and-publications</t>
  </si>
  <si>
    <t>http://www.credit-agricole.com/Investisseur-et-actionnaire/Information-financiere/Pilier-3-et-autres-publications-prudentielles</t>
  </si>
  <si>
    <t>http://sebgroup.com/investor-relations</t>
  </si>
  <si>
    <t>https://www.swedbank.com/investor-relations/risk-and-capital-adequacy/risk-report/index.htm</t>
  </si>
  <si>
    <t>https://www.deutsche-bank.de/ir/en/content/reports_2014.htm</t>
  </si>
  <si>
    <t>https://www.handelsbanken.se/ir</t>
  </si>
  <si>
    <t>https://nordea.com/GSIB</t>
  </si>
  <si>
    <t>http://www.lloydsbankinggroup.com/investors/financial-performance/lloyds-banking-group/</t>
  </si>
  <si>
    <t>BFA</t>
  </si>
  <si>
    <t>ES_SAN</t>
  </si>
  <si>
    <t>ES_BBV</t>
  </si>
  <si>
    <t>ES_BFA</t>
  </si>
  <si>
    <t>ES_CAI</t>
  </si>
  <si>
    <t>Caixa</t>
  </si>
  <si>
    <t>Spanish</t>
  </si>
  <si>
    <t>http://www.santander.com/csgs/Satellite/CFWCSancomQP01/es_ES/Corporativo/Relacion-con-Inversores/Noticias-Significativas.html</t>
  </si>
  <si>
    <t>http://shareholdersandinvestors.bbva.com/TLBB/fbinir/mult/BBVAGSIBsdisclosureDecember_2014v_tcm927-518162.pdf</t>
  </si>
  <si>
    <t>http://www.bfatenedoradeacciones.com/Portal/Home/cruce/0,0,103472%24P1%3D1582,00.html</t>
  </si>
  <si>
    <t>http://www.criteria.com/informacionparainversores/indicadoresderelevanciasistemicaglobal_es.html</t>
  </si>
  <si>
    <t>http://danskebank.com/en-uk/ir/Regulation/Pages/EBA-Data.aspx</t>
  </si>
  <si>
    <t>2.o.</t>
  </si>
  <si>
    <t>4.g.</t>
  </si>
  <si>
    <t>5.i.</t>
  </si>
  <si>
    <t>6.n.</t>
  </si>
  <si>
    <t>7.a.</t>
  </si>
  <si>
    <t>8.c.</t>
  </si>
  <si>
    <t>10.f.</t>
  </si>
  <si>
    <t>12.c.</t>
  </si>
  <si>
    <t>13.d.</t>
  </si>
  <si>
    <t>Total exposures</t>
  </si>
  <si>
    <t>OTC derivatives</t>
  </si>
  <si>
    <t>(chart axis scales may need to be adjusted for readability)</t>
  </si>
  <si>
    <t>Please select the indicator</t>
  </si>
  <si>
    <t>YoY change</t>
  </si>
  <si>
    <t>ABN AMRO</t>
  </si>
  <si>
    <t>https://www.abnamro.com/en/images/050_Investor_Relations/010_Financial_Disclosures/000_Homepage/Files/Global_systemically_important_institution_indicator_ABN_AMRO_2014.pdf</t>
  </si>
  <si>
    <t>-</t>
  </si>
  <si>
    <t>Size - Total Exposures</t>
  </si>
  <si>
    <t>v4.1.0</t>
  </si>
  <si>
    <t/>
  </si>
  <si>
    <t>Annual Average Exchange Rates</t>
  </si>
  <si>
    <t>in reporting currency</t>
  </si>
  <si>
    <t>https://multimediafiles.kbcgroup.eu/ng/published/KBCCOM/PDF/COM_BDV_pdf_GSIB_assessment_2014.pdf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</si>
</sst>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_-;\-* #,##0.00_-;_-* &quot;-&quot;??_-;_-@_-"/>
    <numFmt numFmtId="164" formatCode="_(* #,##0.00_);_(* \(#,##0.00\);_(* &quot;-&quot;??_);_(@_)"/>
    <numFmt numFmtId="165" formatCode="[$€-2]\ #,##0"/>
    <numFmt numFmtId="166" formatCode="[$JPY]\ #,##0"/>
    <numFmt numFmtId="167" formatCode="[$CNY]\ #,##0"/>
    <numFmt numFmtId="168" formatCode="[$HKD]\ #,##0"/>
    <numFmt numFmtId="169" formatCode="[$INR]\ #,##0"/>
    <numFmt numFmtId="170" formatCode="[$BRL]\ #,##0"/>
    <numFmt numFmtId="171" formatCode="[$USD]\ #,##0"/>
    <numFmt numFmtId="172" formatCode="[$EUR]\ #,##0"/>
    <numFmt numFmtId="173" formatCode="[$GBP]\ #,##0"/>
    <numFmt numFmtId="174" formatCode="[$AUD]\ #,##0"/>
    <numFmt numFmtId="175" formatCode="[$CAD]\ #,##0"/>
    <numFmt numFmtId="176" formatCode="[$SEK]\ #,##0"/>
    <numFmt numFmtId="177" formatCode="[$CHF]\ #,##0"/>
    <numFmt numFmtId="178" formatCode="[$MXN]\ #,##0"/>
    <numFmt numFmtId="179" formatCode="[$NZD]\ #,##0"/>
    <numFmt numFmtId="180" formatCode="[$RUB]\ #,##0"/>
    <numFmt numFmtId="181" formatCode="yyyy\-mm\-dd"/>
    <numFmt numFmtId="182" formatCode="_(* #,##0_);_(* \(#,##0\);_(* &quot;-&quot;??_);_(@_)"/>
    <numFmt numFmtId="183" formatCode="#,##0.000000000"/>
    <numFmt numFmtId="184" formatCode="###\ ###\ ###\ ###\ ##0"/>
    <numFmt numFmtId="185" formatCode="###\ ###\ ##0"/>
    <numFmt numFmtId="186" formatCode="0.0%"/>
  </numFmts>
  <fonts count="4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8"/>
      <name val="Arial"/>
      <family val="2"/>
    </font>
    <font>
      <b/>
      <sz val="11"/>
      <color indexed="56"/>
      <name val="Calibri"/>
      <family val="2"/>
    </font>
    <font>
      <sz val="14"/>
      <name val="Arial"/>
      <family val="2"/>
    </font>
    <font>
      <sz val="16"/>
      <name val="Wingdings"/>
      <charset val="2"/>
    </font>
    <font>
      <b/>
      <sz val="14"/>
      <name val="Arial"/>
      <family val="2"/>
    </font>
    <font>
      <sz val="11"/>
      <color theme="1"/>
      <name val="Calibri"/>
      <family val="3"/>
      <charset val="128"/>
      <scheme val="minor"/>
    </font>
    <font>
      <sz val="11"/>
      <color rgb="FF9C0006"/>
      <name val="Calibri"/>
      <family val="3"/>
      <charset val="128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3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0"/>
      <color rgb="FFFFFF00"/>
      <name val="Calibri"/>
      <family val="2"/>
      <scheme val="minor"/>
    </font>
    <font>
      <b/>
      <sz val="14"/>
      <color rgb="FFFFFF00"/>
      <name val="Calibri"/>
      <family val="2"/>
      <scheme val="minor"/>
    </font>
    <font>
      <sz val="11"/>
      <color rgb="FFFFFF00"/>
      <name val="Calibri"/>
      <family val="2"/>
      <scheme val="minor"/>
    </font>
    <font>
      <sz val="10"/>
      <color rgb="FFFFFF00"/>
      <name val="Calibri"/>
      <family val="2"/>
      <scheme val="minor"/>
    </font>
    <font>
      <u/>
      <sz val="9"/>
      <color theme="10"/>
      <name val="Arial"/>
      <family val="2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i/>
      <sz val="9"/>
      <color rgb="FF1F497D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7CE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D5D6D2"/>
        <bgColor indexed="64"/>
      </patternFill>
    </fill>
    <fill>
      <patternFill patternType="solid">
        <fgColor rgb="FFFFEC72"/>
        <bgColor indexed="64"/>
      </patternFill>
    </fill>
    <fill>
      <patternFill patternType="solid">
        <fgColor theme="0"/>
        <bgColor indexed="45"/>
      </patternFill>
    </fill>
    <fill>
      <patternFill patternType="solid">
        <fgColor theme="5" tint="0.59999389629810485"/>
        <bgColor indexed="45"/>
      </patternFill>
    </fill>
    <fill>
      <patternFill patternType="solid">
        <fgColor rgb="FFFFCC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C72"/>
        <bgColor indexed="45"/>
      </patternFill>
    </fill>
    <fill>
      <patternFill patternType="solid">
        <fgColor rgb="FFE6B8B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rgb="FFBCBDBC"/>
      </top>
      <bottom style="thin">
        <color rgb="FFBCBDBC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rgb="FFBCBDBC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BCBDBC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</borders>
  <cellStyleXfs count="28">
    <xf numFmtId="0" fontId="0" fillId="2" borderId="0" applyFont="0" applyBorder="0"/>
    <xf numFmtId="3" fontId="3" fillId="3" borderId="1">
      <alignment horizontal="right" vertical="center"/>
      <protection locked="0"/>
    </xf>
    <xf numFmtId="0" fontId="13" fillId="4" borderId="0" applyNumberFormat="0" applyBorder="0" applyAlignment="0" applyProtection="0"/>
    <xf numFmtId="3" fontId="3" fillId="0" borderId="2">
      <alignment horizontal="right" vertical="center"/>
    </xf>
    <xf numFmtId="0" fontId="4" fillId="5" borderId="3">
      <alignment horizontal="left" vertical="center" indent="1"/>
    </xf>
    <xf numFmtId="164" fontId="3" fillId="0" borderId="0" applyFont="0" applyFill="0" applyBorder="0" applyAlignment="0" applyProtection="0"/>
    <xf numFmtId="0" fontId="3" fillId="3" borderId="1">
      <alignment horizontal="left" vertical="center" indent="1"/>
    </xf>
    <xf numFmtId="0" fontId="6" fillId="2" borderId="4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14" fillId="2" borderId="0" applyNumberFormat="0" applyFill="0" applyBorder="0" applyAlignment="0" applyProtection="0"/>
    <xf numFmtId="9" fontId="3" fillId="0" borderId="0" applyFont="0" applyFill="0" applyBorder="0" applyAlignment="0" applyProtection="0"/>
    <xf numFmtId="0" fontId="7" fillId="3" borderId="1">
      <alignment horizontal="center" vertical="center"/>
    </xf>
    <xf numFmtId="3" fontId="3" fillId="6" borderId="1">
      <alignment horizontal="right"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2" fillId="0" borderId="0">
      <alignment vertical="center"/>
    </xf>
    <xf numFmtId="0" fontId="2" fillId="0" borderId="0"/>
    <xf numFmtId="0" fontId="3" fillId="2" borderId="0" applyFont="0" applyBorder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6" fillId="2" borderId="4" applyNumberFormat="0" applyFill="0" applyBorder="0" applyAlignment="0" applyProtection="0">
      <alignment horizontal="left"/>
    </xf>
    <xf numFmtId="0" fontId="4" fillId="0" borderId="0" applyNumberFormat="0" applyFill="0" applyBorder="0" applyAlignment="0" applyProtection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55">
    <xf numFmtId="0" fontId="0" fillId="2" borderId="0" xfId="0"/>
    <xf numFmtId="0" fontId="0" fillId="2" borderId="0" xfId="0" applyBorder="1" applyProtection="1"/>
    <xf numFmtId="0" fontId="10" fillId="2" borderId="0" xfId="0" applyFont="1" applyBorder="1" applyAlignment="1" applyProtection="1">
      <alignment horizontal="center" vertical="center"/>
    </xf>
    <xf numFmtId="0" fontId="0" fillId="2" borderId="0" xfId="0" applyBorder="1" applyAlignment="1" applyProtection="1">
      <alignment vertical="center"/>
    </xf>
    <xf numFmtId="0" fontId="3" fillId="2" borderId="0" xfId="0" applyFont="1" applyBorder="1" applyAlignment="1" applyProtection="1">
      <alignment vertical="center"/>
    </xf>
    <xf numFmtId="0" fontId="3" fillId="2" borderId="0" xfId="0" applyFont="1" applyFill="1" applyBorder="1" applyAlignment="1" applyProtection="1">
      <alignment horizontal="left" vertical="center"/>
    </xf>
    <xf numFmtId="0" fontId="3" fillId="2" borderId="0" xfId="0" applyFont="1" applyAlignment="1">
      <alignment vertical="center"/>
    </xf>
    <xf numFmtId="0" fontId="3" fillId="2" borderId="0" xfId="0" applyFont="1" applyBorder="1" applyAlignment="1">
      <alignment vertical="center"/>
    </xf>
    <xf numFmtId="0" fontId="0" fillId="2" borderId="0" xfId="0" applyBorder="1" applyAlignment="1">
      <alignment vertical="center"/>
    </xf>
    <xf numFmtId="0" fontId="0" fillId="2" borderId="0" xfId="0" applyAlignment="1">
      <alignment vertical="center"/>
    </xf>
    <xf numFmtId="0" fontId="4" fillId="2" borderId="0" xfId="8" applyFill="1" applyBorder="1" applyAlignment="1" applyProtection="1">
      <alignment horizontal="left" vertical="center"/>
    </xf>
    <xf numFmtId="0" fontId="4" fillId="2" borderId="0" xfId="8" applyFill="1" applyBorder="1" applyAlignment="1" applyProtection="1">
      <alignment vertical="center"/>
    </xf>
    <xf numFmtId="0" fontId="0" fillId="2" borderId="0" xfId="0" applyAlignment="1">
      <alignment horizontal="left" vertical="center"/>
    </xf>
    <xf numFmtId="0" fontId="3" fillId="2" borderId="0" xfId="0" applyFont="1" applyFill="1" applyBorder="1" applyAlignment="1" applyProtection="1">
      <alignment horizontal="right" vertical="center"/>
    </xf>
    <xf numFmtId="0" fontId="0" fillId="2" borderId="0" xfId="0" applyFill="1" applyBorder="1" applyAlignment="1" applyProtection="1">
      <alignment vertical="center"/>
    </xf>
    <xf numFmtId="0" fontId="0" fillId="2" borderId="0" xfId="0" applyAlignment="1" applyProtection="1">
      <alignment vertical="center"/>
    </xf>
    <xf numFmtId="0" fontId="3" fillId="2" borderId="0" xfId="0" applyFont="1" applyFill="1" applyBorder="1" applyAlignment="1" applyProtection="1">
      <alignment vertical="center"/>
    </xf>
    <xf numFmtId="49" fontId="4" fillId="6" borderId="0" xfId="8" applyNumberFormat="1" applyFill="1" applyBorder="1" applyAlignment="1" applyProtection="1">
      <alignment horizontal="left" vertical="center" indent="1"/>
    </xf>
    <xf numFmtId="0" fontId="4" fillId="6" borderId="0" xfId="8" applyFill="1" applyBorder="1" applyAlignment="1" applyProtection="1">
      <alignment horizontal="left" vertical="center" indent="1"/>
    </xf>
    <xf numFmtId="0" fontId="3" fillId="6" borderId="0" xfId="0" applyFont="1" applyFill="1" applyBorder="1" applyAlignment="1" applyProtection="1">
      <alignment horizontal="left" vertical="center" indent="1"/>
    </xf>
    <xf numFmtId="0" fontId="3" fillId="6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 indent="1"/>
    </xf>
    <xf numFmtId="49" fontId="0" fillId="2" borderId="0" xfId="0" applyNumberFormat="1" applyBorder="1" applyAlignment="1" applyProtection="1">
      <alignment horizontal="left" vertical="center" indent="1"/>
    </xf>
    <xf numFmtId="49" fontId="0" fillId="0" borderId="0" xfId="0" applyNumberForma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 indent="1"/>
    </xf>
    <xf numFmtId="0" fontId="5" fillId="2" borderId="0" xfId="0" applyFont="1" applyBorder="1" applyAlignment="1" applyProtection="1">
      <alignment horizontal="center" vertical="center" wrapText="1"/>
    </xf>
    <xf numFmtId="0" fontId="0" fillId="2" borderId="0" xfId="0" applyAlignment="1" applyProtection="1">
      <alignment horizontal="left" vertical="center"/>
    </xf>
    <xf numFmtId="0" fontId="5" fillId="6" borderId="0" xfId="0" applyFont="1" applyFill="1" applyBorder="1" applyAlignment="1" applyProtection="1">
      <alignment horizontal="center" vertical="center" wrapText="1"/>
    </xf>
    <xf numFmtId="0" fontId="5" fillId="2" borderId="0" xfId="0" applyFont="1" applyBorder="1" applyAlignment="1" applyProtection="1">
      <alignment horizontal="center" vertical="center"/>
    </xf>
    <xf numFmtId="0" fontId="4" fillId="2" borderId="0" xfId="8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7" fillId="7" borderId="6" xfId="0" applyFont="1" applyFill="1" applyBorder="1" applyAlignment="1" applyProtection="1">
      <alignment horizontal="center" vertical="center"/>
      <protection locked="0"/>
    </xf>
    <xf numFmtId="49" fontId="0" fillId="8" borderId="6" xfId="0" applyNumberFormat="1" applyFill="1" applyBorder="1" applyAlignment="1" applyProtection="1">
      <alignment horizontal="left" vertical="center" indent="1"/>
    </xf>
    <xf numFmtId="0" fontId="3" fillId="8" borderId="6" xfId="0" applyFont="1" applyFill="1" applyBorder="1" applyAlignment="1" applyProtection="1">
      <alignment horizontal="center" vertical="center"/>
    </xf>
    <xf numFmtId="0" fontId="3" fillId="10" borderId="6" xfId="0" applyFont="1" applyFill="1" applyBorder="1" applyAlignment="1" applyProtection="1">
      <alignment vertical="center"/>
    </xf>
    <xf numFmtId="182" fontId="3" fillId="9" borderId="6" xfId="5" applyNumberFormat="1" applyFont="1" applyFill="1" applyBorder="1" applyAlignment="1" applyProtection="1">
      <alignment horizontal="center" vertical="center"/>
      <protection locked="0"/>
    </xf>
    <xf numFmtId="0" fontId="0" fillId="9" borderId="6" xfId="0" applyFont="1" applyFill="1" applyBorder="1" applyAlignment="1" applyProtection="1">
      <alignment horizontal="center" vertical="center" wrapText="1"/>
      <protection locked="0"/>
    </xf>
    <xf numFmtId="3" fontId="3" fillId="9" borderId="6" xfId="5" applyNumberFormat="1" applyFont="1" applyFill="1" applyBorder="1" applyAlignment="1" applyProtection="1">
      <alignment horizontal="right" vertical="center"/>
      <protection locked="0"/>
    </xf>
    <xf numFmtId="3" fontId="3" fillId="9" borderId="6" xfId="1" applyFill="1" applyBorder="1" applyProtection="1">
      <alignment horizontal="right" vertical="center"/>
      <protection locked="0"/>
    </xf>
    <xf numFmtId="3" fontId="3" fillId="0" borderId="6" xfId="0" applyNumberFormat="1" applyFont="1" applyFill="1" applyBorder="1" applyAlignment="1" applyProtection="1">
      <alignment horizontal="right" vertical="center"/>
    </xf>
    <xf numFmtId="0" fontId="0" fillId="6" borderId="6" xfId="0" applyFill="1" applyBorder="1" applyAlignment="1" applyProtection="1">
      <alignment horizontal="center" vertical="center" wrapText="1"/>
    </xf>
    <xf numFmtId="3" fontId="3" fillId="0" borderId="6" xfId="3" applyBorder="1" applyProtection="1">
      <alignment horizontal="right" vertical="center"/>
    </xf>
    <xf numFmtId="0" fontId="0" fillId="6" borderId="6" xfId="0" applyFont="1" applyFill="1" applyBorder="1" applyAlignment="1" applyProtection="1">
      <alignment horizontal="center" vertical="center"/>
    </xf>
    <xf numFmtId="3" fontId="3" fillId="6" borderId="6" xfId="14" applyBorder="1" applyProtection="1">
      <alignment horizontal="right" vertical="center"/>
    </xf>
    <xf numFmtId="49" fontId="0" fillId="8" borderId="7" xfId="0" applyNumberFormat="1" applyFill="1" applyBorder="1" applyAlignment="1" applyProtection="1">
      <alignment horizontal="left" vertical="center" indent="1"/>
    </xf>
    <xf numFmtId="0" fontId="7" fillId="6" borderId="6" xfId="2" applyFont="1" applyFill="1" applyBorder="1" applyAlignment="1" applyProtection="1">
      <alignment horizontal="center" vertical="center"/>
    </xf>
    <xf numFmtId="49" fontId="0" fillId="8" borderId="8" xfId="0" applyNumberFormat="1" applyFill="1" applyBorder="1" applyAlignment="1" applyProtection="1">
      <alignment horizontal="left" vertical="center" indent="1"/>
    </xf>
    <xf numFmtId="0" fontId="3" fillId="6" borderId="9" xfId="0" applyFont="1" applyFill="1" applyBorder="1" applyAlignment="1" applyProtection="1">
      <alignment horizontal="center" vertical="center"/>
    </xf>
    <xf numFmtId="0" fontId="0" fillId="0" borderId="6" xfId="0" applyFont="1" applyFill="1" applyBorder="1" applyAlignment="1" applyProtection="1">
      <alignment horizontal="center" vertical="center"/>
    </xf>
    <xf numFmtId="49" fontId="5" fillId="8" borderId="10" xfId="0" applyNumberFormat="1" applyFont="1" applyFill="1" applyBorder="1" applyAlignment="1" applyProtection="1">
      <alignment horizontal="left" vertical="center"/>
    </xf>
    <xf numFmtId="49" fontId="5" fillId="8" borderId="11" xfId="0" applyNumberFormat="1" applyFont="1" applyFill="1" applyBorder="1" applyAlignment="1" applyProtection="1">
      <alignment horizontal="left" vertical="center"/>
    </xf>
    <xf numFmtId="0" fontId="3" fillId="8" borderId="12" xfId="0" applyFont="1" applyFill="1" applyBorder="1" applyAlignment="1" applyProtection="1">
      <alignment vertical="center"/>
    </xf>
    <xf numFmtId="0" fontId="0" fillId="6" borderId="10" xfId="0" applyFill="1" applyBorder="1" applyAlignment="1" applyProtection="1">
      <alignment horizontal="left" vertical="center" indent="1"/>
    </xf>
    <xf numFmtId="0" fontId="0" fillId="6" borderId="11" xfId="0" applyFill="1" applyBorder="1" applyAlignment="1" applyProtection="1">
      <alignment horizontal="left" vertical="center" indent="1"/>
    </xf>
    <xf numFmtId="0" fontId="0" fillId="6" borderId="12" xfId="0" applyFont="1" applyFill="1" applyBorder="1" applyAlignment="1" applyProtection="1">
      <alignment vertical="center"/>
    </xf>
    <xf numFmtId="0" fontId="0" fillId="2" borderId="12" xfId="0" applyFont="1" applyBorder="1" applyAlignment="1" applyProtection="1">
      <alignment vertical="center" wrapText="1"/>
    </xf>
    <xf numFmtId="0" fontId="0" fillId="6" borderId="11" xfId="0" applyFill="1" applyBorder="1" applyAlignment="1" applyProtection="1">
      <alignment horizontal="left" vertical="center" indent="2"/>
    </xf>
    <xf numFmtId="0" fontId="0" fillId="0" borderId="10" xfId="0" applyFont="1" applyFill="1" applyBorder="1" applyAlignment="1" applyProtection="1">
      <alignment horizontal="left" vertical="center" indent="1"/>
    </xf>
    <xf numFmtId="0" fontId="0" fillId="0" borderId="11" xfId="0" applyFont="1" applyFill="1" applyBorder="1" applyAlignment="1" applyProtection="1">
      <alignment horizontal="left" vertical="center" indent="1"/>
    </xf>
    <xf numFmtId="0" fontId="4" fillId="5" borderId="10" xfId="4" applyBorder="1" applyProtection="1">
      <alignment horizontal="left" vertical="center" indent="1"/>
    </xf>
    <xf numFmtId="0" fontId="4" fillId="5" borderId="11" xfId="0" applyFont="1" applyFill="1" applyBorder="1" applyAlignment="1" applyProtection="1">
      <alignment horizontal="left" vertical="center"/>
    </xf>
    <xf numFmtId="0" fontId="4" fillId="5" borderId="12" xfId="0" applyFont="1" applyFill="1" applyBorder="1" applyAlignment="1" applyProtection="1">
      <alignment horizontal="left" vertical="center"/>
    </xf>
    <xf numFmtId="0" fontId="3" fillId="8" borderId="11" xfId="0" applyFont="1" applyFill="1" applyBorder="1" applyAlignment="1" applyProtection="1">
      <alignment vertical="center"/>
    </xf>
    <xf numFmtId="0" fontId="0" fillId="11" borderId="6" xfId="0" applyFont="1" applyFill="1" applyBorder="1" applyAlignment="1" applyProtection="1">
      <alignment horizontal="center" vertical="center"/>
      <protection locked="0"/>
    </xf>
    <xf numFmtId="0" fontId="0" fillId="11" borderId="6" xfId="0" applyFont="1" applyFill="1" applyBorder="1" applyAlignment="1" applyProtection="1">
      <alignment horizontal="center" vertical="center" wrapText="1"/>
      <protection locked="0"/>
    </xf>
    <xf numFmtId="181" fontId="0" fillId="11" borderId="6" xfId="0" applyNumberFormat="1" applyFont="1" applyFill="1" applyBorder="1" applyAlignment="1" applyProtection="1">
      <alignment horizontal="center" vertical="center"/>
      <protection locked="0"/>
    </xf>
    <xf numFmtId="0" fontId="3" fillId="12" borderId="12" xfId="0" applyFont="1" applyFill="1" applyBorder="1" applyAlignment="1" applyProtection="1">
      <alignment horizontal="left" vertical="center" indent="1"/>
    </xf>
    <xf numFmtId="0" fontId="0" fillId="0" borderId="13" xfId="0" applyFont="1" applyFill="1" applyBorder="1" applyAlignment="1" applyProtection="1">
      <alignment horizontal="center" vertical="center"/>
    </xf>
    <xf numFmtId="165" fontId="0" fillId="6" borderId="6" xfId="0" applyNumberFormat="1" applyFont="1" applyFill="1" applyBorder="1" applyAlignment="1" applyProtection="1">
      <alignment horizontal="right" vertical="center" indent="1"/>
    </xf>
    <xf numFmtId="49" fontId="5" fillId="8" borderId="14" xfId="0" applyNumberFormat="1" applyFont="1" applyFill="1" applyBorder="1" applyAlignment="1" applyProtection="1">
      <alignment horizontal="left" vertical="center"/>
    </xf>
    <xf numFmtId="49" fontId="5" fillId="8" borderId="15" xfId="0" applyNumberFormat="1" applyFont="1" applyFill="1" applyBorder="1" applyAlignment="1" applyProtection="1">
      <alignment horizontal="left" vertical="center"/>
    </xf>
    <xf numFmtId="0" fontId="5" fillId="8" borderId="14" xfId="0" applyNumberFormat="1" applyFont="1" applyFill="1" applyBorder="1" applyAlignment="1" applyProtection="1">
      <alignment vertical="center"/>
    </xf>
    <xf numFmtId="0" fontId="5" fillId="8" borderId="15" xfId="0" applyNumberFormat="1" applyFont="1" applyFill="1" applyBorder="1" applyAlignment="1" applyProtection="1">
      <alignment horizontal="right" vertical="center"/>
    </xf>
    <xf numFmtId="3" fontId="3" fillId="9" borderId="12" xfId="1" applyFont="1" applyFill="1" applyBorder="1" applyProtection="1">
      <alignment horizontal="right" vertical="center"/>
      <protection locked="0"/>
    </xf>
    <xf numFmtId="0" fontId="0" fillId="6" borderId="11" xfId="0" applyFont="1" applyFill="1" applyBorder="1" applyAlignment="1" applyProtection="1">
      <alignment vertical="center"/>
    </xf>
    <xf numFmtId="9" fontId="3" fillId="0" borderId="6" xfId="12" applyFont="1" applyFill="1" applyBorder="1" applyAlignment="1" applyProtection="1">
      <alignment horizontal="right" vertical="center"/>
    </xf>
    <xf numFmtId="0" fontId="0" fillId="0" borderId="15" xfId="0" applyFont="1" applyFill="1" applyBorder="1" applyAlignment="1" applyProtection="1">
      <alignment horizontal="center" vertical="center"/>
    </xf>
    <xf numFmtId="49" fontId="5" fillId="8" borderId="16" xfId="0" applyNumberFormat="1" applyFont="1" applyFill="1" applyBorder="1" applyAlignment="1" applyProtection="1">
      <alignment horizontal="left" vertical="center"/>
    </xf>
    <xf numFmtId="0" fontId="3" fillId="8" borderId="15" xfId="0" applyFont="1" applyFill="1" applyBorder="1" applyAlignment="1" applyProtection="1">
      <alignment vertical="center"/>
    </xf>
    <xf numFmtId="174" fontId="0" fillId="9" borderId="6" xfId="0" applyNumberFormat="1" applyFont="1" applyFill="1" applyBorder="1" applyAlignment="1" applyProtection="1">
      <alignment horizontal="right" vertical="center"/>
      <protection locked="0"/>
    </xf>
    <xf numFmtId="3" fontId="3" fillId="6" borderId="6" xfId="5" applyNumberFormat="1" applyFont="1" applyFill="1" applyBorder="1" applyAlignment="1" applyProtection="1">
      <alignment horizontal="right" vertical="center"/>
    </xf>
    <xf numFmtId="170" fontId="0" fillId="9" borderId="6" xfId="0" applyNumberFormat="1" applyFont="1" applyFill="1" applyBorder="1" applyAlignment="1" applyProtection="1">
      <alignment horizontal="right" vertical="center"/>
      <protection locked="0"/>
    </xf>
    <xf numFmtId="175" fontId="0" fillId="9" borderId="6" xfId="0" applyNumberFormat="1" applyFont="1" applyFill="1" applyBorder="1" applyAlignment="1" applyProtection="1">
      <alignment horizontal="right" vertical="center"/>
      <protection locked="0"/>
    </xf>
    <xf numFmtId="177" fontId="0" fillId="9" borderId="6" xfId="0" applyNumberFormat="1" applyFont="1" applyFill="1" applyBorder="1" applyAlignment="1" applyProtection="1">
      <alignment horizontal="right" vertical="center"/>
      <protection locked="0"/>
    </xf>
    <xf numFmtId="167" fontId="0" fillId="9" borderId="6" xfId="0" applyNumberFormat="1" applyFont="1" applyFill="1" applyBorder="1" applyAlignment="1" applyProtection="1">
      <alignment horizontal="right" vertical="center"/>
      <protection locked="0"/>
    </xf>
    <xf numFmtId="172" fontId="0" fillId="9" borderId="6" xfId="0" applyNumberFormat="1" applyFont="1" applyFill="1" applyBorder="1" applyAlignment="1" applyProtection="1">
      <alignment horizontal="right" vertical="center"/>
      <protection locked="0"/>
    </xf>
    <xf numFmtId="173" fontId="0" fillId="9" borderId="6" xfId="0" applyNumberFormat="1" applyFont="1" applyFill="1" applyBorder="1" applyAlignment="1" applyProtection="1">
      <alignment horizontal="right" vertical="center"/>
      <protection locked="0"/>
    </xf>
    <xf numFmtId="168" fontId="0" fillId="9" borderId="6" xfId="0" applyNumberFormat="1" applyFont="1" applyFill="1" applyBorder="1" applyAlignment="1" applyProtection="1">
      <alignment horizontal="right" vertical="center"/>
      <protection locked="0"/>
    </xf>
    <xf numFmtId="169" fontId="0" fillId="9" borderId="6" xfId="0" applyNumberFormat="1" applyFont="1" applyFill="1" applyBorder="1" applyAlignment="1" applyProtection="1">
      <alignment horizontal="right" vertical="center"/>
      <protection locked="0"/>
    </xf>
    <xf numFmtId="166" fontId="0" fillId="9" borderId="6" xfId="0" applyNumberFormat="1" applyFont="1" applyFill="1" applyBorder="1" applyAlignment="1" applyProtection="1">
      <alignment horizontal="right" vertical="center"/>
      <protection locked="0"/>
    </xf>
    <xf numFmtId="176" fontId="0" fillId="9" borderId="6" xfId="0" applyNumberFormat="1" applyFont="1" applyFill="1" applyBorder="1" applyAlignment="1" applyProtection="1">
      <alignment horizontal="right" vertical="center"/>
      <protection locked="0"/>
    </xf>
    <xf numFmtId="171" fontId="0" fillId="9" borderId="6" xfId="0" applyNumberFormat="1" applyFont="1" applyFill="1" applyBorder="1" applyAlignment="1" applyProtection="1">
      <alignment horizontal="right" vertical="center"/>
      <protection locked="0"/>
    </xf>
    <xf numFmtId="0" fontId="4" fillId="5" borderId="11" xfId="0" applyFont="1" applyFill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indent="1"/>
    </xf>
    <xf numFmtId="0" fontId="3" fillId="2" borderId="0" xfId="0" applyFont="1" applyBorder="1" applyAlignment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/>
    </xf>
    <xf numFmtId="0" fontId="0" fillId="2" borderId="18" xfId="0" applyBorder="1" applyAlignment="1" applyProtection="1">
      <alignment vertical="center"/>
    </xf>
    <xf numFmtId="0" fontId="3" fillId="2" borderId="17" xfId="0" applyFont="1" applyFill="1" applyBorder="1" applyAlignment="1" applyProtection="1">
      <alignment vertical="center"/>
    </xf>
    <xf numFmtId="0" fontId="0" fillId="6" borderId="17" xfId="0" applyFont="1" applyFill="1" applyBorder="1" applyAlignment="1" applyProtection="1">
      <alignment vertical="center"/>
    </xf>
    <xf numFmtId="0" fontId="4" fillId="6" borderId="17" xfId="8" applyFont="1" applyFill="1" applyBorder="1" applyAlignment="1" applyProtection="1">
      <alignment horizontal="left" vertical="center"/>
    </xf>
    <xf numFmtId="0" fontId="3" fillId="2" borderId="17" xfId="8" applyFont="1" applyFill="1" applyBorder="1" applyAlignment="1" applyProtection="1">
      <alignment horizontal="left" vertical="center"/>
    </xf>
    <xf numFmtId="0" fontId="0" fillId="2" borderId="18" xfId="0" applyBorder="1" applyAlignment="1" applyProtection="1">
      <alignment horizontal="left" vertical="center"/>
    </xf>
    <xf numFmtId="0" fontId="4" fillId="2" borderId="17" xfId="8" applyFont="1" applyFill="1" applyBorder="1" applyAlignment="1" applyProtection="1">
      <alignment horizontal="left" vertical="center"/>
    </xf>
    <xf numFmtId="0" fontId="4" fillId="6" borderId="17" xfId="8" applyFont="1" applyFill="1" applyBorder="1" applyAlignment="1" applyProtection="1">
      <alignment horizontal="left" vertical="center" indent="1"/>
    </xf>
    <xf numFmtId="0" fontId="3" fillId="6" borderId="17" xfId="0" applyFont="1" applyFill="1" applyBorder="1" applyAlignment="1" applyProtection="1">
      <alignment horizontal="left" vertical="center" indent="1"/>
    </xf>
    <xf numFmtId="0" fontId="3" fillId="2" borderId="17" xfId="0" applyFont="1" applyFill="1" applyBorder="1" applyAlignment="1" applyProtection="1">
      <alignment horizontal="left" vertical="center" indent="1"/>
    </xf>
    <xf numFmtId="49" fontId="0" fillId="0" borderId="18" xfId="0" applyNumberFormat="1" applyFill="1" applyBorder="1" applyAlignment="1" applyProtection="1">
      <alignment horizontal="left" vertical="center" indent="1"/>
    </xf>
    <xf numFmtId="0" fontId="0" fillId="2" borderId="17" xfId="0" applyBorder="1" applyProtection="1"/>
    <xf numFmtId="0" fontId="0" fillId="2" borderId="18" xfId="0" applyBorder="1" applyProtection="1"/>
    <xf numFmtId="0" fontId="3" fillId="2" borderId="17" xfId="0" applyFont="1" applyBorder="1" applyAlignment="1" applyProtection="1">
      <alignment vertical="center"/>
    </xf>
    <xf numFmtId="0" fontId="0" fillId="2" borderId="19" xfId="0" applyBorder="1" applyProtection="1"/>
    <xf numFmtId="0" fontId="0" fillId="2" borderId="20" xfId="0" applyBorder="1" applyProtection="1"/>
    <xf numFmtId="0" fontId="0" fillId="2" borderId="20" xfId="0" applyBorder="1" applyAlignment="1" applyProtection="1">
      <alignment horizontal="left" indent="1"/>
    </xf>
    <xf numFmtId="0" fontId="0" fillId="2" borderId="21" xfId="0" applyBorder="1" applyProtection="1"/>
    <xf numFmtId="49" fontId="0" fillId="2" borderId="10" xfId="0" applyNumberFormat="1" applyFill="1" applyBorder="1" applyAlignment="1" applyProtection="1">
      <alignment horizontal="left" vertical="center" indent="1"/>
    </xf>
    <xf numFmtId="49" fontId="0" fillId="2" borderId="11" xfId="0" applyNumberFormat="1" applyFill="1" applyBorder="1" applyAlignment="1" applyProtection="1">
      <alignment horizontal="left" vertical="center" indent="1"/>
    </xf>
    <xf numFmtId="0" fontId="3" fillId="6" borderId="12" xfId="0" applyFont="1" applyFill="1" applyBorder="1" applyAlignment="1" applyProtection="1">
      <alignment vertical="center"/>
    </xf>
    <xf numFmtId="49" fontId="0" fillId="2" borderId="10" xfId="0" applyNumberFormat="1" applyFill="1" applyBorder="1" applyAlignment="1" applyProtection="1">
      <alignment horizontal="left" vertical="center" indent="2"/>
    </xf>
    <xf numFmtId="49" fontId="0" fillId="2" borderId="11" xfId="0" applyNumberFormat="1" applyFill="1" applyBorder="1" applyAlignment="1" applyProtection="1">
      <alignment horizontal="left" vertical="center" indent="2"/>
    </xf>
    <xf numFmtId="49" fontId="0" fillId="2" borderId="10" xfId="0" applyNumberFormat="1" applyBorder="1" applyAlignment="1" applyProtection="1">
      <alignment horizontal="left" vertical="center" indent="2"/>
    </xf>
    <xf numFmtId="49" fontId="0" fillId="2" borderId="11" xfId="0" applyNumberFormat="1" applyBorder="1" applyAlignment="1" applyProtection="1">
      <alignment horizontal="left" vertical="center" indent="2"/>
    </xf>
    <xf numFmtId="0" fontId="3" fillId="2" borderId="12" xfId="0" applyFont="1" applyBorder="1" applyAlignment="1" applyProtection="1">
      <alignment vertical="center"/>
    </xf>
    <xf numFmtId="0" fontId="0" fillId="6" borderId="12" xfId="0" applyFont="1" applyFill="1" applyBorder="1" applyAlignment="1" applyProtection="1">
      <alignment horizontal="center" vertical="center"/>
    </xf>
    <xf numFmtId="0" fontId="0" fillId="0" borderId="10" xfId="0" applyFill="1" applyBorder="1" applyAlignment="1" applyProtection="1">
      <alignment horizontal="left" vertical="center" indent="2"/>
    </xf>
    <xf numFmtId="0" fontId="0" fillId="0" borderId="11" xfId="0" applyFill="1" applyBorder="1" applyAlignment="1" applyProtection="1">
      <alignment horizontal="left" vertical="center" indent="2"/>
    </xf>
    <xf numFmtId="0" fontId="0" fillId="0" borderId="10" xfId="0" applyFill="1" applyBorder="1" applyAlignment="1" applyProtection="1">
      <alignment horizontal="left" vertical="center" indent="1"/>
    </xf>
    <xf numFmtId="0" fontId="0" fillId="0" borderId="11" xfId="0" applyFill="1" applyBorder="1" applyAlignment="1" applyProtection="1">
      <alignment horizontal="left" vertical="center" indent="1"/>
    </xf>
    <xf numFmtId="0" fontId="0" fillId="2" borderId="12" xfId="0" applyBorder="1" applyAlignment="1" applyProtection="1">
      <alignment horizontal="right" indent="1"/>
    </xf>
    <xf numFmtId="49" fontId="0" fillId="2" borderId="12" xfId="0" applyNumberFormat="1" applyFill="1" applyBorder="1" applyAlignment="1" applyProtection="1">
      <alignment horizontal="right" vertical="center" indent="1"/>
    </xf>
    <xf numFmtId="0" fontId="0" fillId="6" borderId="12" xfId="0" applyFill="1" applyBorder="1" applyAlignment="1" applyProtection="1">
      <alignment horizontal="left" vertical="center" indent="1"/>
    </xf>
    <xf numFmtId="0" fontId="3" fillId="2" borderId="20" xfId="0" applyFont="1" applyBorder="1" applyAlignment="1" applyProtection="1">
      <alignment vertical="center"/>
    </xf>
    <xf numFmtId="0" fontId="3" fillId="2" borderId="20" xfId="0" applyFont="1" applyBorder="1" applyAlignment="1" applyProtection="1">
      <alignment horizontal="left" vertical="center" indent="1"/>
    </xf>
    <xf numFmtId="0" fontId="0" fillId="2" borderId="20" xfId="0" applyBorder="1" applyAlignment="1" applyProtection="1">
      <alignment vertical="center"/>
    </xf>
    <xf numFmtId="181" fontId="0" fillId="15" borderId="6" xfId="0" applyNumberFormat="1" applyFont="1" applyFill="1" applyBorder="1" applyAlignment="1" applyProtection="1">
      <alignment horizontal="center" vertical="center"/>
      <protection locked="0"/>
    </xf>
    <xf numFmtId="0" fontId="3" fillId="2" borderId="0" xfId="0" applyFont="1" applyBorder="1" applyAlignment="1" applyProtection="1">
      <alignment horizontal="left" vertical="center" indent="1"/>
    </xf>
    <xf numFmtId="0" fontId="0" fillId="2" borderId="0" xfId="0" applyBorder="1" applyAlignment="1" applyProtection="1">
      <alignment horizontal="left" vertical="center"/>
    </xf>
    <xf numFmtId="3" fontId="3" fillId="9" borderId="6" xfId="1" applyFont="1" applyFill="1" applyBorder="1" applyProtection="1">
      <alignment horizontal="right" vertical="center"/>
      <protection locked="0"/>
    </xf>
    <xf numFmtId="0" fontId="0" fillId="0" borderId="12" xfId="0" applyFill="1" applyBorder="1" applyAlignment="1" applyProtection="1">
      <alignment horizontal="left" vertical="center" indent="1"/>
    </xf>
    <xf numFmtId="0" fontId="11" fillId="2" borderId="0" xfId="7" applyFont="1" applyFill="1" applyBorder="1" applyAlignment="1" applyProtection="1">
      <alignment horizontal="center" vertical="center"/>
    </xf>
    <xf numFmtId="0" fontId="9" fillId="2" borderId="0" xfId="7" applyFont="1" applyFill="1" applyBorder="1" applyAlignment="1" applyProtection="1">
      <alignment vertical="center"/>
    </xf>
    <xf numFmtId="0" fontId="3" fillId="2" borderId="19" xfId="0" applyFont="1" applyFill="1" applyBorder="1" applyAlignment="1" applyProtection="1">
      <alignment horizontal="left" vertical="center"/>
    </xf>
    <xf numFmtId="0" fontId="0" fillId="2" borderId="20" xfId="0" applyBorder="1" applyAlignment="1" applyProtection="1">
      <alignment horizontal="left" vertical="center" indent="1"/>
    </xf>
    <xf numFmtId="0" fontId="0" fillId="2" borderId="20" xfId="0" applyBorder="1" applyAlignment="1" applyProtection="1">
      <alignment horizontal="center" vertical="center"/>
    </xf>
    <xf numFmtId="49" fontId="0" fillId="2" borderId="20" xfId="0" applyNumberFormat="1" applyBorder="1" applyAlignment="1" applyProtection="1">
      <alignment horizontal="left" vertical="center" indent="1"/>
    </xf>
    <xf numFmtId="0" fontId="0" fillId="2" borderId="21" xfId="0" applyBorder="1" applyAlignment="1" applyProtection="1">
      <alignment vertical="center"/>
    </xf>
    <xf numFmtId="0" fontId="3" fillId="2" borderId="14" xfId="0" applyFont="1" applyFill="1" applyBorder="1" applyAlignment="1" applyProtection="1">
      <alignment horizontal="left" vertical="center"/>
    </xf>
    <xf numFmtId="0" fontId="0" fillId="2" borderId="16" xfId="0" applyBorder="1" applyAlignment="1" applyProtection="1">
      <alignment horizontal="left" vertical="center" indent="1"/>
    </xf>
    <xf numFmtId="0" fontId="0" fillId="2" borderId="16" xfId="0" applyBorder="1" applyAlignment="1" applyProtection="1">
      <alignment vertical="center"/>
    </xf>
    <xf numFmtId="0" fontId="0" fillId="2" borderId="16" xfId="0" applyBorder="1" applyAlignment="1" applyProtection="1">
      <alignment horizontal="center" vertical="center"/>
    </xf>
    <xf numFmtId="49" fontId="0" fillId="2" borderId="16" xfId="0" applyNumberFormat="1" applyBorder="1" applyAlignment="1" applyProtection="1">
      <alignment horizontal="left" vertical="center" indent="1"/>
    </xf>
    <xf numFmtId="0" fontId="0" fillId="2" borderId="15" xfId="0" applyBorder="1" applyAlignment="1" applyProtection="1">
      <alignment vertical="center"/>
    </xf>
    <xf numFmtId="0" fontId="3" fillId="2" borderId="19" xfId="0" applyFont="1" applyFill="1" applyBorder="1" applyAlignment="1" applyProtection="1">
      <alignment vertical="center"/>
    </xf>
    <xf numFmtId="0" fontId="3" fillId="2" borderId="20" xfId="0" applyFont="1" applyBorder="1" applyAlignment="1" applyProtection="1">
      <alignment horizontal="center" vertical="center"/>
    </xf>
    <xf numFmtId="3" fontId="3" fillId="2" borderId="20" xfId="0" applyNumberFormat="1" applyFont="1" applyBorder="1" applyAlignment="1" applyProtection="1">
      <alignment horizontal="right" vertical="center"/>
    </xf>
    <xf numFmtId="49" fontId="3" fillId="2" borderId="20" xfId="0" applyNumberFormat="1" applyFont="1" applyBorder="1" applyAlignment="1" applyProtection="1">
      <alignment horizontal="left" vertical="center" indent="1"/>
    </xf>
    <xf numFmtId="0" fontId="10" fillId="2" borderId="20" xfId="0" applyFont="1" applyBorder="1" applyAlignment="1" applyProtection="1">
      <alignment horizontal="center" vertical="center"/>
    </xf>
    <xf numFmtId="0" fontId="4" fillId="6" borderId="14" xfId="8" applyFont="1" applyFill="1" applyBorder="1" applyAlignment="1" applyProtection="1">
      <alignment horizontal="left" vertical="center" indent="1"/>
    </xf>
    <xf numFmtId="0" fontId="4" fillId="6" borderId="16" xfId="8" applyFill="1" applyBorder="1" applyAlignment="1" applyProtection="1">
      <alignment horizontal="left" vertical="center" indent="1"/>
    </xf>
    <xf numFmtId="0" fontId="4" fillId="2" borderId="16" xfId="8" applyFill="1" applyBorder="1" applyAlignment="1" applyProtection="1">
      <alignment horizontal="left" vertical="center"/>
    </xf>
    <xf numFmtId="0" fontId="4" fillId="2" borderId="16" xfId="8" applyFill="1" applyBorder="1" applyAlignment="1" applyProtection="1">
      <alignment horizontal="center" vertical="center"/>
    </xf>
    <xf numFmtId="0" fontId="4" fillId="2" borderId="16" xfId="8" applyFill="1" applyBorder="1" applyAlignment="1" applyProtection="1">
      <alignment vertical="center"/>
    </xf>
    <xf numFmtId="49" fontId="4" fillId="6" borderId="16" xfId="8" applyNumberFormat="1" applyFill="1" applyBorder="1" applyAlignment="1" applyProtection="1">
      <alignment horizontal="left" vertical="center" indent="1"/>
    </xf>
    <xf numFmtId="0" fontId="10" fillId="2" borderId="16" xfId="0" applyFont="1" applyBorder="1" applyAlignment="1" applyProtection="1">
      <alignment horizontal="center" vertical="center"/>
    </xf>
    <xf numFmtId="49" fontId="0" fillId="0" borderId="20" xfId="0" applyNumberFormat="1" applyFill="1" applyBorder="1" applyAlignment="1" applyProtection="1">
      <alignment horizontal="left" vertical="center" indent="1"/>
    </xf>
    <xf numFmtId="0" fontId="0" fillId="2" borderId="14" xfId="0" applyBorder="1" applyProtection="1"/>
    <xf numFmtId="0" fontId="6" fillId="2" borderId="16" xfId="7" applyFont="1" applyFill="1" applyBorder="1" applyAlignment="1" applyProtection="1"/>
    <xf numFmtId="0" fontId="0" fillId="2" borderId="16" xfId="0" applyBorder="1" applyAlignment="1" applyProtection="1">
      <alignment horizontal="center"/>
    </xf>
    <xf numFmtId="0" fontId="0" fillId="2" borderId="16" xfId="0" applyBorder="1" applyProtection="1"/>
    <xf numFmtId="0" fontId="0" fillId="2" borderId="16" xfId="0" applyBorder="1" applyAlignment="1" applyProtection="1">
      <alignment horizontal="left" indent="1"/>
    </xf>
    <xf numFmtId="0" fontId="0" fillId="2" borderId="15" xfId="0" applyBorder="1" applyProtection="1"/>
    <xf numFmtId="0" fontId="0" fillId="2" borderId="20" xfId="0" applyBorder="1" applyAlignment="1" applyProtection="1">
      <alignment horizontal="center"/>
    </xf>
    <xf numFmtId="0" fontId="3" fillId="6" borderId="6" xfId="0" applyFont="1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left" vertical="center" indent="2"/>
    </xf>
    <xf numFmtId="178" fontId="0" fillId="9" borderId="6" xfId="0" applyNumberFormat="1" applyFont="1" applyFill="1" applyBorder="1" applyAlignment="1" applyProtection="1">
      <alignment horizontal="right" vertical="center"/>
      <protection locked="0"/>
    </xf>
    <xf numFmtId="3" fontId="3" fillId="6" borderId="6" xfId="0" applyNumberFormat="1" applyFont="1" applyFill="1" applyBorder="1" applyAlignment="1" applyProtection="1">
      <alignment horizontal="right" vertical="center"/>
    </xf>
    <xf numFmtId="179" fontId="0" fillId="9" borderId="6" xfId="0" applyNumberFormat="1" applyFont="1" applyFill="1" applyBorder="1" applyAlignment="1" applyProtection="1">
      <alignment horizontal="right" vertical="center"/>
      <protection locked="0"/>
    </xf>
    <xf numFmtId="180" fontId="0" fillId="9" borderId="6" xfId="0" applyNumberFormat="1" applyFont="1" applyFill="1" applyBorder="1" applyAlignment="1" applyProtection="1">
      <alignment horizontal="right" vertical="center"/>
      <protection locked="0"/>
    </xf>
    <xf numFmtId="0" fontId="0" fillId="6" borderId="12" xfId="0" applyFill="1" applyBorder="1" applyAlignment="1" applyProtection="1">
      <alignment horizontal="center" vertical="center"/>
    </xf>
    <xf numFmtId="0" fontId="0" fillId="12" borderId="10" xfId="0" applyFont="1" applyFill="1" applyBorder="1" applyAlignment="1" applyProtection="1">
      <alignment horizontal="left" vertical="center" indent="1"/>
    </xf>
    <xf numFmtId="0" fontId="0" fillId="12" borderId="11" xfId="0" applyFont="1" applyFill="1" applyBorder="1" applyAlignment="1" applyProtection="1">
      <alignment horizontal="left" vertical="center" indent="1"/>
    </xf>
    <xf numFmtId="0" fontId="0" fillId="6" borderId="6" xfId="0" applyFill="1" applyBorder="1" applyAlignment="1" applyProtection="1">
      <alignment horizontal="left" vertical="center" indent="1"/>
    </xf>
    <xf numFmtId="49" fontId="5" fillId="8" borderId="6" xfId="0" applyNumberFormat="1" applyFont="1" applyFill="1" applyBorder="1" applyAlignment="1" applyProtection="1">
      <alignment horizontal="left" vertical="center"/>
    </xf>
    <xf numFmtId="0" fontId="0" fillId="9" borderId="6" xfId="0" applyFont="1" applyFill="1" applyBorder="1" applyAlignment="1" applyProtection="1">
      <alignment horizontal="left" vertical="center" wrapText="1" indent="1"/>
      <protection locked="0"/>
    </xf>
    <xf numFmtId="0" fontId="14" fillId="9" borderId="6" xfId="11" applyFill="1" applyBorder="1" applyAlignment="1" applyProtection="1">
      <alignment horizontal="left" vertical="center" indent="1"/>
      <protection locked="0"/>
    </xf>
    <xf numFmtId="3" fontId="3" fillId="7" borderId="6" xfId="1" applyFill="1" applyBorder="1" applyProtection="1">
      <alignment horizontal="right" vertical="center"/>
      <protection locked="0"/>
    </xf>
    <xf numFmtId="174" fontId="0" fillId="7" borderId="6" xfId="0" applyNumberFormat="1" applyFont="1" applyFill="1" applyBorder="1" applyAlignment="1" applyProtection="1">
      <alignment horizontal="right" vertical="center"/>
      <protection locked="0"/>
    </xf>
    <xf numFmtId="170" fontId="0" fillId="7" borderId="6" xfId="0" applyNumberFormat="1" applyFont="1" applyFill="1" applyBorder="1" applyAlignment="1" applyProtection="1">
      <alignment horizontal="right" vertical="center"/>
      <protection locked="0"/>
    </xf>
    <xf numFmtId="175" fontId="0" fillId="7" borderId="6" xfId="0" applyNumberFormat="1" applyFont="1" applyFill="1" applyBorder="1" applyAlignment="1" applyProtection="1">
      <alignment horizontal="right" vertical="center"/>
      <protection locked="0"/>
    </xf>
    <xf numFmtId="177" fontId="0" fillId="7" borderId="6" xfId="0" applyNumberFormat="1" applyFont="1" applyFill="1" applyBorder="1" applyAlignment="1" applyProtection="1">
      <alignment horizontal="right" vertical="center"/>
      <protection locked="0"/>
    </xf>
    <xf numFmtId="167" fontId="0" fillId="7" borderId="6" xfId="0" applyNumberFormat="1" applyFont="1" applyFill="1" applyBorder="1" applyAlignment="1" applyProtection="1">
      <alignment horizontal="right" vertical="center"/>
      <protection locked="0"/>
    </xf>
    <xf numFmtId="172" fontId="0" fillId="7" borderId="6" xfId="0" applyNumberFormat="1" applyFont="1" applyFill="1" applyBorder="1" applyAlignment="1" applyProtection="1">
      <alignment horizontal="right" vertical="center"/>
      <protection locked="0"/>
    </xf>
    <xf numFmtId="173" fontId="0" fillId="7" borderId="6" xfId="0" applyNumberFormat="1" applyFont="1" applyFill="1" applyBorder="1" applyAlignment="1" applyProtection="1">
      <alignment horizontal="right" vertical="center"/>
      <protection locked="0"/>
    </xf>
    <xf numFmtId="168" fontId="0" fillId="7" borderId="6" xfId="0" applyNumberFormat="1" applyFont="1" applyFill="1" applyBorder="1" applyAlignment="1" applyProtection="1">
      <alignment horizontal="right" vertical="center"/>
      <protection locked="0"/>
    </xf>
    <xf numFmtId="169" fontId="0" fillId="7" borderId="6" xfId="0" applyNumberFormat="1" applyFont="1" applyFill="1" applyBorder="1" applyAlignment="1" applyProtection="1">
      <alignment horizontal="right" vertical="center"/>
      <protection locked="0"/>
    </xf>
    <xf numFmtId="166" fontId="0" fillId="7" borderId="6" xfId="0" applyNumberFormat="1" applyFont="1" applyFill="1" applyBorder="1" applyAlignment="1" applyProtection="1">
      <alignment horizontal="right" vertical="center"/>
      <protection locked="0"/>
    </xf>
    <xf numFmtId="176" fontId="0" fillId="7" borderId="6" xfId="0" applyNumberFormat="1" applyFont="1" applyFill="1" applyBorder="1" applyAlignment="1" applyProtection="1">
      <alignment horizontal="right" vertical="center"/>
      <protection locked="0"/>
    </xf>
    <xf numFmtId="171" fontId="0" fillId="7" borderId="6" xfId="0" applyNumberFormat="1" applyFont="1" applyFill="1" applyBorder="1" applyAlignment="1" applyProtection="1">
      <alignment horizontal="right" vertical="center"/>
      <protection locked="0"/>
    </xf>
    <xf numFmtId="178" fontId="0" fillId="7" borderId="6" xfId="0" applyNumberFormat="1" applyFont="1" applyFill="1" applyBorder="1" applyAlignment="1" applyProtection="1">
      <alignment horizontal="right" vertical="center"/>
      <protection locked="0"/>
    </xf>
    <xf numFmtId="179" fontId="0" fillId="7" borderId="6" xfId="0" applyNumberFormat="1" applyFont="1" applyFill="1" applyBorder="1" applyAlignment="1" applyProtection="1">
      <alignment horizontal="right" vertical="center"/>
      <protection locked="0"/>
    </xf>
    <xf numFmtId="180" fontId="0" fillId="7" borderId="6" xfId="0" applyNumberFormat="1" applyFont="1" applyFill="1" applyBorder="1" applyAlignment="1" applyProtection="1">
      <alignment horizontal="right" vertical="center"/>
      <protection locked="0"/>
    </xf>
    <xf numFmtId="0" fontId="3" fillId="2" borderId="0" xfId="0" applyFont="1" applyAlignment="1" applyProtection="1">
      <alignment vertical="center"/>
    </xf>
    <xf numFmtId="0" fontId="3" fillId="12" borderId="11" xfId="0" applyFont="1" applyFill="1" applyBorder="1" applyAlignment="1" applyProtection="1">
      <alignment horizontal="left" vertical="center" indent="1"/>
    </xf>
    <xf numFmtId="0" fontId="0" fillId="2" borderId="0" xfId="0" applyProtection="1"/>
    <xf numFmtId="3" fontId="0" fillId="6" borderId="6" xfId="0" applyNumberFormat="1" applyFont="1" applyFill="1" applyBorder="1" applyAlignment="1" applyProtection="1">
      <alignment horizontal="right" vertical="center" indent="1"/>
    </xf>
    <xf numFmtId="183" fontId="0" fillId="14" borderId="6" xfId="0" applyNumberFormat="1" applyFont="1" applyFill="1" applyBorder="1" applyAlignment="1" applyProtection="1">
      <alignment horizontal="right" vertical="center" indent="1"/>
      <protection locked="0"/>
    </xf>
    <xf numFmtId="183" fontId="3" fillId="14" borderId="6" xfId="0" applyNumberFormat="1" applyFont="1" applyFill="1" applyBorder="1" applyAlignment="1" applyProtection="1">
      <alignment horizontal="right" vertical="center" indent="1"/>
      <protection locked="0"/>
    </xf>
    <xf numFmtId="183" fontId="0" fillId="16" borderId="6" xfId="0" applyNumberFormat="1" applyFont="1" applyFill="1" applyBorder="1" applyAlignment="1" applyProtection="1">
      <alignment horizontal="right" vertical="center" indent="1"/>
      <protection locked="0"/>
    </xf>
    <xf numFmtId="3" fontId="3" fillId="7" borderId="6" xfId="1" applyFont="1" applyFill="1" applyBorder="1" applyProtection="1">
      <alignment horizontal="right" vertical="center"/>
      <protection locked="0"/>
    </xf>
    <xf numFmtId="3" fontId="3" fillId="9" borderId="6" xfId="1" applyFont="1" applyFill="1" applyBorder="1" applyProtection="1">
      <alignment horizontal="right" vertical="center"/>
      <protection locked="0"/>
    </xf>
    <xf numFmtId="0" fontId="0" fillId="7" borderId="22" xfId="0" applyFont="1" applyFill="1" applyBorder="1" applyAlignment="1" applyProtection="1">
      <alignment horizontal="left" vertical="top" wrapText="1" indent="1"/>
      <protection locked="0"/>
    </xf>
    <xf numFmtId="3" fontId="3" fillId="9" borderId="6" xfId="1" applyFont="1" applyFill="1" applyBorder="1" applyAlignment="1" applyProtection="1">
      <alignment horizontal="left" vertical="top" wrapText="1" indent="1"/>
      <protection locked="0"/>
    </xf>
    <xf numFmtId="0" fontId="3" fillId="14" borderId="23" xfId="6" applyFont="1" applyFill="1" applyBorder="1" applyAlignment="1" applyProtection="1">
      <alignment horizontal="left" vertical="top" wrapText="1" indent="1"/>
      <protection locked="0"/>
    </xf>
    <xf numFmtId="3" fontId="0" fillId="9" borderId="6" xfId="1" applyFont="1" applyFill="1" applyBorder="1" applyAlignment="1" applyProtection="1">
      <alignment horizontal="left" vertical="top" wrapText="1" indent="1"/>
      <protection locked="0"/>
    </xf>
    <xf numFmtId="181" fontId="0" fillId="14" borderId="6" xfId="0" applyNumberFormat="1" applyFont="1" applyFill="1" applyBorder="1" applyAlignment="1" applyProtection="1">
      <alignment horizontal="center" vertical="center"/>
      <protection locked="0"/>
    </xf>
    <xf numFmtId="0" fontId="0" fillId="14" borderId="6" xfId="0" applyFont="1" applyFill="1" applyBorder="1" applyAlignment="1" applyProtection="1">
      <alignment horizontal="center" vertical="center"/>
      <protection locked="0"/>
    </xf>
    <xf numFmtId="0" fontId="15" fillId="0" borderId="0" xfId="18" applyFont="1" applyAlignment="1"/>
    <xf numFmtId="0" fontId="15" fillId="0" borderId="0" xfId="18" applyFont="1" applyAlignment="1">
      <alignment horizontal="center"/>
    </xf>
    <xf numFmtId="0" fontId="15" fillId="0" borderId="0" xfId="18" applyFont="1"/>
    <xf numFmtId="0" fontId="16" fillId="0" borderId="0" xfId="19" applyFont="1" applyFill="1" applyAlignment="1">
      <alignment horizontal="center" vertical="center"/>
    </xf>
    <xf numFmtId="0" fontId="18" fillId="2" borderId="0" xfId="0" applyFont="1" applyBorder="1" applyAlignment="1" applyProtection="1">
      <alignment horizontal="right" vertical="center"/>
    </xf>
    <xf numFmtId="0" fontId="19" fillId="0" borderId="0" xfId="18" applyFont="1"/>
    <xf numFmtId="0" fontId="19" fillId="0" borderId="0" xfId="18" applyFont="1" applyAlignment="1">
      <alignment horizontal="left" wrapText="1"/>
    </xf>
    <xf numFmtId="0" fontId="19" fillId="0" borderId="0" xfId="18" applyFont="1" applyAlignment="1">
      <alignment vertical="center"/>
    </xf>
    <xf numFmtId="0" fontId="19" fillId="0" borderId="0" xfId="18" applyFont="1" applyAlignment="1">
      <alignment horizontal="left" vertical="center" wrapText="1"/>
    </xf>
    <xf numFmtId="0" fontId="21" fillId="0" borderId="0" xfId="18" applyFont="1" applyAlignment="1">
      <alignment vertical="center"/>
    </xf>
    <xf numFmtId="0" fontId="21" fillId="0" borderId="0" xfId="18" applyFont="1" applyAlignment="1">
      <alignment horizontal="left" vertical="center" wrapText="1"/>
    </xf>
    <xf numFmtId="0" fontId="23" fillId="0" borderId="0" xfId="18" applyFont="1"/>
    <xf numFmtId="0" fontId="23" fillId="0" borderId="0" xfId="18" applyFont="1" applyAlignment="1">
      <alignment horizontal="left" wrapText="1"/>
    </xf>
    <xf numFmtId="0" fontId="23" fillId="19" borderId="31" xfId="18" applyFont="1" applyFill="1" applyBorder="1" applyAlignment="1" applyProtection="1">
      <alignment horizontal="center" vertical="center"/>
    </xf>
    <xf numFmtId="0" fontId="25" fillId="0" borderId="0" xfId="18" applyFont="1" applyAlignment="1">
      <alignment horizontal="left" wrapText="1"/>
    </xf>
    <xf numFmtId="0" fontId="26" fillId="19" borderId="34" xfId="18" applyFont="1" applyFill="1" applyBorder="1" applyAlignment="1" applyProtection="1">
      <alignment horizontal="center" vertical="top" wrapText="1"/>
    </xf>
    <xf numFmtId="0" fontId="26" fillId="20" borderId="35" xfId="18" applyFont="1" applyFill="1" applyBorder="1" applyAlignment="1" applyProtection="1">
      <alignment horizontal="center" vertical="top" wrapText="1"/>
    </xf>
    <xf numFmtId="0" fontId="26" fillId="20" borderId="36" xfId="18" applyFont="1" applyFill="1" applyBorder="1" applyAlignment="1" applyProtection="1">
      <alignment horizontal="center" vertical="top" wrapText="1"/>
    </xf>
    <xf numFmtId="0" fontId="26" fillId="20" borderId="37" xfId="18" applyFont="1" applyFill="1" applyBorder="1" applyAlignment="1" applyProtection="1">
      <alignment horizontal="center" vertical="top" wrapText="1"/>
    </xf>
    <xf numFmtId="0" fontId="26" fillId="21" borderId="38" xfId="18" applyFont="1" applyFill="1" applyBorder="1" applyAlignment="1" applyProtection="1">
      <alignment horizontal="center" vertical="top" wrapText="1"/>
    </xf>
    <xf numFmtId="0" fontId="26" fillId="21" borderId="36" xfId="18" applyFont="1" applyFill="1" applyBorder="1" applyAlignment="1" applyProtection="1">
      <alignment horizontal="center" vertical="top" wrapText="1"/>
    </xf>
    <xf numFmtId="0" fontId="26" fillId="21" borderId="39" xfId="18" applyFont="1" applyFill="1" applyBorder="1" applyAlignment="1" applyProtection="1">
      <alignment horizontal="center" vertical="top" wrapText="1"/>
    </xf>
    <xf numFmtId="0" fontId="26" fillId="22" borderId="35" xfId="18" applyFont="1" applyFill="1" applyBorder="1" applyAlignment="1" applyProtection="1">
      <alignment horizontal="center" vertical="top" wrapText="1"/>
    </xf>
    <xf numFmtId="0" fontId="26" fillId="22" borderId="36" xfId="18" applyFont="1" applyFill="1" applyBorder="1" applyAlignment="1" applyProtection="1">
      <alignment horizontal="center" vertical="top" wrapText="1"/>
    </xf>
    <xf numFmtId="0" fontId="26" fillId="22" borderId="37" xfId="18" applyFont="1" applyFill="1" applyBorder="1" applyAlignment="1" applyProtection="1">
      <alignment horizontal="center" vertical="top" wrapText="1"/>
    </xf>
    <xf numFmtId="0" fontId="26" fillId="23" borderId="38" xfId="18" applyFont="1" applyFill="1" applyBorder="1" applyAlignment="1" applyProtection="1">
      <alignment horizontal="center" vertical="top" wrapText="1"/>
    </xf>
    <xf numFmtId="0" fontId="26" fillId="23" borderId="37" xfId="18" applyFont="1" applyFill="1" applyBorder="1" applyAlignment="1" applyProtection="1">
      <alignment horizontal="center" vertical="top" wrapText="1"/>
    </xf>
    <xf numFmtId="0" fontId="27" fillId="24" borderId="40" xfId="18" applyFont="1" applyFill="1" applyBorder="1" applyAlignment="1" applyProtection="1">
      <alignment horizontal="left" vertical="center" wrapText="1"/>
    </xf>
    <xf numFmtId="184" fontId="28" fillId="0" borderId="31" xfId="18" applyNumberFormat="1" applyFont="1" applyBorder="1" applyAlignment="1">
      <alignment horizontal="right" vertical="center"/>
    </xf>
    <xf numFmtId="184" fontId="28" fillId="0" borderId="47" xfId="18" applyNumberFormat="1" applyFont="1" applyBorder="1" applyAlignment="1">
      <alignment horizontal="right" vertical="center"/>
    </xf>
    <xf numFmtId="184" fontId="28" fillId="0" borderId="48" xfId="18" applyNumberFormat="1" applyFont="1" applyBorder="1" applyAlignment="1">
      <alignment horizontal="right" vertical="center"/>
    </xf>
    <xf numFmtId="184" fontId="28" fillId="0" borderId="49" xfId="18" applyNumberFormat="1" applyFont="1" applyBorder="1" applyAlignment="1">
      <alignment horizontal="right" vertical="center"/>
    </xf>
    <xf numFmtId="184" fontId="28" fillId="0" borderId="50" xfId="18" applyNumberFormat="1" applyFont="1" applyBorder="1" applyAlignment="1">
      <alignment horizontal="right" vertical="center"/>
    </xf>
    <xf numFmtId="184" fontId="28" fillId="0" borderId="51" xfId="18" applyNumberFormat="1" applyFont="1" applyBorder="1" applyAlignment="1">
      <alignment horizontal="right" vertical="center"/>
    </xf>
    <xf numFmtId="0" fontId="19" fillId="0" borderId="0" xfId="18" applyFont="1" applyBorder="1" applyAlignment="1" applyProtection="1">
      <alignment vertical="center"/>
    </xf>
    <xf numFmtId="0" fontId="19" fillId="0" borderId="0" xfId="18" applyFont="1" applyBorder="1" applyAlignment="1" applyProtection="1">
      <alignment horizontal="center" vertical="center"/>
    </xf>
    <xf numFmtId="0" fontId="19" fillId="0" borderId="0" xfId="18" applyFont="1" applyBorder="1" applyAlignment="1" applyProtection="1">
      <alignment horizontal="center" vertical="top" wrapText="1"/>
    </xf>
    <xf numFmtId="0" fontId="19" fillId="0" borderId="0" xfId="18" applyFont="1" applyBorder="1" applyAlignment="1" applyProtection="1">
      <alignment horizontal="right" vertical="center"/>
    </xf>
    <xf numFmtId="22" fontId="19" fillId="0" borderId="0" xfId="18" applyNumberFormat="1" applyFont="1" applyAlignment="1" applyProtection="1">
      <alignment horizontal="right" vertical="top" wrapText="1"/>
    </xf>
    <xf numFmtId="0" fontId="19" fillId="0" borderId="0" xfId="18" applyFont="1" applyAlignment="1">
      <alignment vertical="top"/>
    </xf>
    <xf numFmtId="0" fontId="2" fillId="0" borderId="0" xfId="18" applyBorder="1"/>
    <xf numFmtId="0" fontId="29" fillId="19" borderId="0" xfId="18" applyFont="1" applyFill="1" applyBorder="1" applyAlignment="1">
      <alignment vertical="center"/>
    </xf>
    <xf numFmtId="0" fontId="2" fillId="0" borderId="0" xfId="18" applyBorder="1" applyAlignment="1">
      <alignment vertical="center"/>
    </xf>
    <xf numFmtId="0" fontId="29" fillId="25" borderId="0" xfId="18" applyFont="1" applyFill="1" applyBorder="1" applyAlignment="1">
      <alignment vertical="center"/>
    </xf>
    <xf numFmtId="0" fontId="29" fillId="21" borderId="0" xfId="18" applyFont="1" applyFill="1" applyBorder="1" applyAlignment="1">
      <alignment vertical="center"/>
    </xf>
    <xf numFmtId="0" fontId="29" fillId="22" borderId="0" xfId="18" applyFont="1" applyFill="1" applyBorder="1" applyAlignment="1">
      <alignment vertical="center"/>
    </xf>
    <xf numFmtId="0" fontId="29" fillId="23" borderId="0" xfId="18" applyFont="1" applyFill="1" applyBorder="1"/>
    <xf numFmtId="0" fontId="2" fillId="0" borderId="0" xfId="18" applyFill="1" applyBorder="1"/>
    <xf numFmtId="0" fontId="0" fillId="0" borderId="0" xfId="0" applyFill="1" applyBorder="1"/>
    <xf numFmtId="0" fontId="0" fillId="0" borderId="0" xfId="0" applyFill="1"/>
    <xf numFmtId="0" fontId="0" fillId="0" borderId="58" xfId="0" applyFill="1" applyBorder="1"/>
    <xf numFmtId="14" fontId="0" fillId="0" borderId="0" xfId="0" applyNumberFormat="1" applyFill="1"/>
    <xf numFmtId="49" fontId="3" fillId="6" borderId="6" xfId="0" applyNumberFormat="1" applyFont="1" applyFill="1" applyBorder="1" applyAlignment="1" applyProtection="1">
      <alignment horizontal="center" vertical="center"/>
    </xf>
    <xf numFmtId="3" fontId="0" fillId="2" borderId="0" xfId="0" applyNumberFormat="1" applyAlignment="1" applyProtection="1">
      <alignment vertical="center"/>
    </xf>
    <xf numFmtId="0" fontId="0" fillId="0" borderId="0" xfId="0" applyFill="1" applyAlignment="1">
      <alignment horizontal="right"/>
    </xf>
    <xf numFmtId="0" fontId="0" fillId="0" borderId="58" xfId="0" applyFill="1" applyBorder="1" applyAlignment="1">
      <alignment horizontal="right"/>
    </xf>
    <xf numFmtId="0" fontId="14" fillId="0" borderId="0" xfId="11" applyFill="1" applyAlignment="1">
      <alignment horizontal="right"/>
    </xf>
    <xf numFmtId="184" fontId="28" fillId="0" borderId="41" xfId="25" applyNumberFormat="1" applyFont="1" applyBorder="1" applyAlignment="1">
      <alignment horizontal="right" vertical="center"/>
    </xf>
    <xf numFmtId="184" fontId="28" fillId="0" borderId="42" xfId="18" applyNumberFormat="1" applyFont="1" applyBorder="1" applyAlignment="1">
      <alignment horizontal="right" vertical="center"/>
    </xf>
    <xf numFmtId="184" fontId="28" fillId="0" borderId="43" xfId="18" applyNumberFormat="1" applyFont="1" applyBorder="1" applyAlignment="1">
      <alignment horizontal="right" vertical="center"/>
    </xf>
    <xf numFmtId="184" fontId="28" fillId="0" borderId="44" xfId="18" applyNumberFormat="1" applyFont="1" applyBorder="1" applyAlignment="1">
      <alignment horizontal="right" vertical="center"/>
    </xf>
    <xf numFmtId="184" fontId="28" fillId="0" borderId="45" xfId="18" applyNumberFormat="1" applyFont="1" applyBorder="1" applyAlignment="1">
      <alignment horizontal="right" vertical="center"/>
    </xf>
    <xf numFmtId="184" fontId="28" fillId="0" borderId="46" xfId="18" applyNumberFormat="1" applyFont="1" applyBorder="1" applyAlignment="1">
      <alignment horizontal="right" vertical="center"/>
    </xf>
    <xf numFmtId="184" fontId="28" fillId="0" borderId="52" xfId="18" applyNumberFormat="1" applyFont="1" applyBorder="1" applyAlignment="1">
      <alignment horizontal="right" vertical="center"/>
    </xf>
    <xf numFmtId="184" fontId="28" fillId="0" borderId="53" xfId="18" applyNumberFormat="1" applyFont="1" applyBorder="1" applyAlignment="1">
      <alignment horizontal="right" vertical="center"/>
    </xf>
    <xf numFmtId="184" fontId="28" fillId="0" borderId="54" xfId="18" applyNumberFormat="1" applyFont="1" applyBorder="1" applyAlignment="1">
      <alignment horizontal="right" vertical="center"/>
    </xf>
    <xf numFmtId="184" fontId="28" fillId="0" borderId="55" xfId="18" applyNumberFormat="1" applyFont="1" applyBorder="1" applyAlignment="1">
      <alignment horizontal="right" vertical="center"/>
    </xf>
    <xf numFmtId="184" fontId="28" fillId="0" borderId="56" xfId="18" applyNumberFormat="1" applyFont="1" applyBorder="1" applyAlignment="1">
      <alignment horizontal="right" vertical="center"/>
    </xf>
    <xf numFmtId="184" fontId="28" fillId="0" borderId="57" xfId="18" applyNumberFormat="1" applyFont="1" applyBorder="1" applyAlignment="1">
      <alignment horizontal="right" vertical="center"/>
    </xf>
    <xf numFmtId="0" fontId="14" fillId="0" borderId="0" xfId="11" applyFill="1"/>
    <xf numFmtId="184" fontId="28" fillId="0" borderId="59" xfId="18" applyNumberFormat="1" applyFont="1" applyBorder="1" applyAlignment="1">
      <alignment horizontal="right" vertical="center"/>
    </xf>
    <xf numFmtId="184" fontId="28" fillId="0" borderId="60" xfId="18" applyNumberFormat="1" applyFont="1" applyBorder="1" applyAlignment="1">
      <alignment horizontal="right" vertical="center"/>
    </xf>
    <xf numFmtId="184" fontId="28" fillId="0" borderId="61" xfId="18" applyNumberFormat="1" applyFont="1" applyBorder="1" applyAlignment="1">
      <alignment horizontal="right" vertical="center"/>
    </xf>
    <xf numFmtId="184" fontId="28" fillId="0" borderId="62" xfId="18" applyNumberFormat="1" applyFont="1" applyBorder="1" applyAlignment="1">
      <alignment horizontal="right" vertical="center"/>
    </xf>
    <xf numFmtId="184" fontId="28" fillId="0" borderId="63" xfId="18" applyNumberFormat="1" applyFont="1" applyBorder="1" applyAlignment="1">
      <alignment horizontal="right" vertical="center"/>
    </xf>
    <xf numFmtId="184" fontId="28" fillId="0" borderId="64" xfId="18" applyNumberFormat="1" applyFont="1" applyBorder="1" applyAlignment="1">
      <alignment horizontal="right" vertical="center"/>
    </xf>
    <xf numFmtId="0" fontId="19" fillId="0" borderId="0" xfId="26" applyFont="1"/>
    <xf numFmtId="0" fontId="19" fillId="0" borderId="0" xfId="26" applyFont="1" applyAlignment="1">
      <alignment horizontal="left" wrapText="1"/>
    </xf>
    <xf numFmtId="0" fontId="30" fillId="0" borderId="0" xfId="26" applyFont="1" applyAlignment="1">
      <alignment horizontal="center"/>
    </xf>
    <xf numFmtId="0" fontId="30" fillId="0" borderId="0" xfId="26" applyFont="1" applyAlignment="1">
      <alignment horizontal="center" vertical="top"/>
    </xf>
    <xf numFmtId="0" fontId="19" fillId="0" borderId="0" xfId="26" applyFont="1" applyAlignment="1">
      <alignment vertical="center"/>
    </xf>
    <xf numFmtId="0" fontId="19" fillId="0" borderId="0" xfId="26" applyFont="1" applyAlignment="1">
      <alignment horizontal="left" vertical="center" wrapText="1"/>
    </xf>
    <xf numFmtId="0" fontId="21" fillId="0" borderId="0" xfId="26" applyFont="1" applyAlignment="1">
      <alignment vertical="center"/>
    </xf>
    <xf numFmtId="0" fontId="21" fillId="0" borderId="0" xfId="26" applyFont="1" applyAlignment="1">
      <alignment horizontal="left" vertical="center" wrapText="1"/>
    </xf>
    <xf numFmtId="0" fontId="23" fillId="0" borderId="0" xfId="26" applyFont="1"/>
    <xf numFmtId="0" fontId="23" fillId="0" borderId="0" xfId="26" applyFont="1" applyAlignment="1">
      <alignment horizontal="left" wrapText="1"/>
    </xf>
    <xf numFmtId="0" fontId="23" fillId="19" borderId="31" xfId="26" applyFont="1" applyFill="1" applyBorder="1" applyAlignment="1" applyProtection="1">
      <alignment horizontal="center" vertical="center"/>
    </xf>
    <xf numFmtId="0" fontId="25" fillId="0" borderId="0" xfId="26" applyFont="1" applyAlignment="1">
      <alignment horizontal="left" wrapText="1"/>
    </xf>
    <xf numFmtId="0" fontId="26" fillId="19" borderId="34" xfId="26" applyFont="1" applyFill="1" applyBorder="1" applyAlignment="1" applyProtection="1">
      <alignment horizontal="center" vertical="top" wrapText="1"/>
    </xf>
    <xf numFmtId="0" fontId="26" fillId="20" borderId="35" xfId="26" applyFont="1" applyFill="1" applyBorder="1" applyAlignment="1" applyProtection="1">
      <alignment horizontal="center" vertical="top" wrapText="1"/>
    </xf>
    <xf numFmtId="0" fontId="26" fillId="20" borderId="36" xfId="26" applyFont="1" applyFill="1" applyBorder="1" applyAlignment="1" applyProtection="1">
      <alignment horizontal="center" vertical="top" wrapText="1"/>
    </xf>
    <xf numFmtId="0" fontId="26" fillId="20" borderId="37" xfId="26" applyFont="1" applyFill="1" applyBorder="1" applyAlignment="1" applyProtection="1">
      <alignment horizontal="center" vertical="top" wrapText="1"/>
    </xf>
    <xf numFmtId="0" fontId="26" fillId="21" borderId="38" xfId="26" applyFont="1" applyFill="1" applyBorder="1" applyAlignment="1" applyProtection="1">
      <alignment horizontal="center" vertical="top" wrapText="1"/>
    </xf>
    <xf numFmtId="0" fontId="26" fillId="21" borderId="36" xfId="26" applyFont="1" applyFill="1" applyBorder="1" applyAlignment="1" applyProtection="1">
      <alignment horizontal="center" vertical="top" wrapText="1"/>
    </xf>
    <xf numFmtId="0" fontId="26" fillId="21" borderId="39" xfId="26" applyFont="1" applyFill="1" applyBorder="1" applyAlignment="1" applyProtection="1">
      <alignment horizontal="center" vertical="top" wrapText="1"/>
    </xf>
    <xf numFmtId="0" fontId="26" fillId="22" borderId="35" xfId="26" applyFont="1" applyFill="1" applyBorder="1" applyAlignment="1" applyProtection="1">
      <alignment horizontal="center" vertical="top" wrapText="1"/>
    </xf>
    <xf numFmtId="0" fontId="26" fillId="22" borderId="36" xfId="26" applyFont="1" applyFill="1" applyBorder="1" applyAlignment="1" applyProtection="1">
      <alignment horizontal="center" vertical="top" wrapText="1"/>
    </xf>
    <xf numFmtId="0" fontId="26" fillId="22" borderId="37" xfId="26" applyFont="1" applyFill="1" applyBorder="1" applyAlignment="1" applyProtection="1">
      <alignment horizontal="center" vertical="top" wrapText="1"/>
    </xf>
    <xf numFmtId="0" fontId="26" fillId="23" borderId="38" xfId="26" applyFont="1" applyFill="1" applyBorder="1" applyAlignment="1" applyProtection="1">
      <alignment horizontal="center" vertical="top" wrapText="1"/>
    </xf>
    <xf numFmtId="0" fontId="26" fillId="23" borderId="37" xfId="26" applyFont="1" applyFill="1" applyBorder="1" applyAlignment="1" applyProtection="1">
      <alignment horizontal="center" vertical="top" wrapText="1"/>
    </xf>
    <xf numFmtId="0" fontId="27" fillId="24" borderId="40" xfId="26" applyFont="1" applyFill="1" applyBorder="1" applyAlignment="1" applyProtection="1">
      <alignment horizontal="left" vertical="center" wrapText="1"/>
    </xf>
    <xf numFmtId="185" fontId="28" fillId="0" borderId="41" xfId="27" applyNumberFormat="1" applyFont="1" applyBorder="1" applyAlignment="1">
      <alignment horizontal="right" vertical="center"/>
    </xf>
    <xf numFmtId="185" fontId="28" fillId="0" borderId="42" xfId="26" applyNumberFormat="1" applyFont="1" applyBorder="1" applyAlignment="1">
      <alignment horizontal="right" vertical="center"/>
    </xf>
    <xf numFmtId="185" fontId="28" fillId="0" borderId="43" xfId="26" applyNumberFormat="1" applyFont="1" applyBorder="1" applyAlignment="1">
      <alignment horizontal="right" vertical="center"/>
    </xf>
    <xf numFmtId="185" fontId="28" fillId="0" borderId="44" xfId="26" applyNumberFormat="1" applyFont="1" applyBorder="1" applyAlignment="1">
      <alignment horizontal="right" vertical="center"/>
    </xf>
    <xf numFmtId="185" fontId="28" fillId="0" borderId="45" xfId="26" applyNumberFormat="1" applyFont="1" applyBorder="1" applyAlignment="1">
      <alignment horizontal="right" vertical="center"/>
    </xf>
    <xf numFmtId="185" fontId="28" fillId="0" borderId="46" xfId="26" applyNumberFormat="1" applyFont="1" applyBorder="1" applyAlignment="1">
      <alignment horizontal="right" vertical="center"/>
    </xf>
    <xf numFmtId="185" fontId="28" fillId="0" borderId="31" xfId="26" applyNumberFormat="1" applyFont="1" applyBorder="1" applyAlignment="1">
      <alignment horizontal="right" vertical="center"/>
    </xf>
    <xf numFmtId="185" fontId="28" fillId="0" borderId="47" xfId="26" applyNumberFormat="1" applyFont="1" applyBorder="1" applyAlignment="1">
      <alignment horizontal="right" vertical="center"/>
    </xf>
    <xf numFmtId="185" fontId="28" fillId="0" borderId="48" xfId="26" applyNumberFormat="1" applyFont="1" applyBorder="1" applyAlignment="1">
      <alignment horizontal="right" vertical="center"/>
    </xf>
    <xf numFmtId="185" fontId="28" fillId="0" borderId="49" xfId="26" applyNumberFormat="1" applyFont="1" applyBorder="1" applyAlignment="1">
      <alignment horizontal="right" vertical="center"/>
    </xf>
    <xf numFmtId="185" fontId="28" fillId="0" borderId="50" xfId="26" applyNumberFormat="1" applyFont="1" applyBorder="1" applyAlignment="1">
      <alignment horizontal="right" vertical="center"/>
    </xf>
    <xf numFmtId="185" fontId="28" fillId="0" borderId="51" xfId="26" applyNumberFormat="1" applyFont="1" applyBorder="1" applyAlignment="1">
      <alignment horizontal="right" vertical="center"/>
    </xf>
    <xf numFmtId="184" fontId="28" fillId="0" borderId="31" xfId="26" applyNumberFormat="1" applyFont="1" applyBorder="1" applyAlignment="1">
      <alignment horizontal="right" vertical="center"/>
    </xf>
    <xf numFmtId="184" fontId="28" fillId="0" borderId="47" xfId="26" applyNumberFormat="1" applyFont="1" applyBorder="1" applyAlignment="1">
      <alignment horizontal="right" vertical="center"/>
    </xf>
    <xf numFmtId="184" fontId="28" fillId="0" borderId="48" xfId="26" applyNumberFormat="1" applyFont="1" applyBorder="1" applyAlignment="1">
      <alignment horizontal="right" vertical="center"/>
    </xf>
    <xf numFmtId="184" fontId="28" fillId="0" borderId="49" xfId="26" applyNumberFormat="1" applyFont="1" applyBorder="1" applyAlignment="1">
      <alignment horizontal="right" vertical="center"/>
    </xf>
    <xf numFmtId="184" fontId="28" fillId="0" borderId="50" xfId="26" applyNumberFormat="1" applyFont="1" applyBorder="1" applyAlignment="1">
      <alignment horizontal="right" vertical="center"/>
    </xf>
    <xf numFmtId="184" fontId="28" fillId="0" borderId="51" xfId="26" applyNumberFormat="1" applyFont="1" applyBorder="1" applyAlignment="1">
      <alignment horizontal="right" vertical="center"/>
    </xf>
    <xf numFmtId="0" fontId="19" fillId="0" borderId="0" xfId="26" applyFont="1" applyBorder="1" applyAlignment="1" applyProtection="1">
      <alignment vertical="center"/>
    </xf>
    <xf numFmtId="185" fontId="28" fillId="0" borderId="52" xfId="26" applyNumberFormat="1" applyFont="1" applyBorder="1" applyAlignment="1">
      <alignment horizontal="right" vertical="center"/>
    </xf>
    <xf numFmtId="185" fontId="28" fillId="0" borderId="53" xfId="26" applyNumberFormat="1" applyFont="1" applyBorder="1" applyAlignment="1">
      <alignment horizontal="right" vertical="center"/>
    </xf>
    <xf numFmtId="185" fontId="28" fillId="0" borderId="54" xfId="26" applyNumberFormat="1" applyFont="1" applyBorder="1" applyAlignment="1">
      <alignment horizontal="right" vertical="center"/>
    </xf>
    <xf numFmtId="185" fontId="28" fillId="0" borderId="55" xfId="26" applyNumberFormat="1" applyFont="1" applyBorder="1" applyAlignment="1">
      <alignment horizontal="right" vertical="center"/>
    </xf>
    <xf numFmtId="185" fontId="28" fillId="0" borderId="56" xfId="26" applyNumberFormat="1" applyFont="1" applyBorder="1" applyAlignment="1">
      <alignment horizontal="right" vertical="center"/>
    </xf>
    <xf numFmtId="185" fontId="28" fillId="0" borderId="57" xfId="26" applyNumberFormat="1" applyFont="1" applyBorder="1" applyAlignment="1">
      <alignment horizontal="right" vertical="center"/>
    </xf>
    <xf numFmtId="0" fontId="19" fillId="0" borderId="0" xfId="26" applyFont="1" applyBorder="1" applyAlignment="1" applyProtection="1">
      <alignment horizontal="center" vertical="center"/>
    </xf>
    <xf numFmtId="0" fontId="19" fillId="0" borderId="0" xfId="26" applyFont="1" applyBorder="1" applyAlignment="1" applyProtection="1">
      <alignment horizontal="center" vertical="top" wrapText="1"/>
    </xf>
    <xf numFmtId="0" fontId="19" fillId="0" borderId="0" xfId="26" applyFont="1" applyBorder="1" applyAlignment="1" applyProtection="1">
      <alignment horizontal="right" vertical="center"/>
    </xf>
    <xf numFmtId="0" fontId="19" fillId="0" borderId="0" xfId="26" applyFont="1" applyAlignment="1">
      <alignment vertical="top"/>
    </xf>
    <xf numFmtId="0" fontId="1" fillId="0" borderId="0" xfId="26" applyBorder="1"/>
    <xf numFmtId="0" fontId="29" fillId="19" borderId="0" xfId="26" applyFont="1" applyFill="1" applyBorder="1" applyAlignment="1">
      <alignment vertical="center"/>
    </xf>
    <xf numFmtId="0" fontId="1" fillId="0" borderId="0" xfId="26" applyBorder="1" applyAlignment="1">
      <alignment vertical="center"/>
    </xf>
    <xf numFmtId="0" fontId="29" fillId="25" borderId="0" xfId="26" applyFont="1" applyFill="1" applyBorder="1" applyAlignment="1">
      <alignment vertical="center"/>
    </xf>
    <xf numFmtId="0" fontId="29" fillId="21" borderId="0" xfId="26" applyFont="1" applyFill="1" applyBorder="1" applyAlignment="1">
      <alignment vertical="center"/>
    </xf>
    <xf numFmtId="0" fontId="31" fillId="19" borderId="0" xfId="18" applyFont="1" applyFill="1" applyBorder="1" applyAlignment="1" applyProtection="1">
      <alignment horizontal="center" vertical="top" wrapText="1"/>
    </xf>
    <xf numFmtId="0" fontId="31" fillId="20" borderId="0" xfId="18" applyFont="1" applyFill="1" applyBorder="1" applyAlignment="1" applyProtection="1">
      <alignment horizontal="center" vertical="top" wrapText="1"/>
    </xf>
    <xf numFmtId="0" fontId="31" fillId="21" borderId="0" xfId="18" applyFont="1" applyFill="1" applyBorder="1" applyAlignment="1" applyProtection="1">
      <alignment horizontal="center" vertical="top" wrapText="1"/>
    </xf>
    <xf numFmtId="0" fontId="31" fillId="22" borderId="0" xfId="18" applyFont="1" applyFill="1" applyBorder="1" applyAlignment="1" applyProtection="1">
      <alignment horizontal="center" vertical="top" wrapText="1"/>
    </xf>
    <xf numFmtId="0" fontId="31" fillId="23" borderId="0" xfId="18" applyFont="1" applyFill="1" applyBorder="1" applyAlignment="1" applyProtection="1">
      <alignment horizontal="center" vertical="top" wrapText="1"/>
    </xf>
    <xf numFmtId="0" fontId="29" fillId="0" borderId="0" xfId="26" applyFont="1" applyFill="1" applyBorder="1" applyAlignment="1">
      <alignment vertical="center"/>
    </xf>
    <xf numFmtId="0" fontId="34" fillId="0" borderId="0" xfId="26" applyFont="1" applyBorder="1"/>
    <xf numFmtId="0" fontId="34" fillId="0" borderId="0" xfId="26" applyFont="1" applyBorder="1" applyAlignment="1">
      <alignment vertical="center"/>
    </xf>
    <xf numFmtId="0" fontId="33" fillId="0" borderId="0" xfId="26" applyFont="1" applyFill="1" applyBorder="1" applyAlignment="1">
      <alignment vertical="center"/>
    </xf>
    <xf numFmtId="0" fontId="32" fillId="0" borderId="0" xfId="26" applyFont="1" applyFill="1" applyBorder="1" applyAlignment="1">
      <alignment horizontal="right" vertical="center"/>
    </xf>
    <xf numFmtId="0" fontId="15" fillId="0" borderId="0" xfId="26" applyFont="1" applyBorder="1"/>
    <xf numFmtId="0" fontId="15" fillId="0" borderId="0" xfId="26" applyFont="1" applyBorder="1" applyAlignment="1">
      <alignment horizontal="right"/>
    </xf>
    <xf numFmtId="0" fontId="35" fillId="0" borderId="0" xfId="26" applyFont="1" applyBorder="1"/>
    <xf numFmtId="0" fontId="35" fillId="0" borderId="0" xfId="26" applyFont="1" applyBorder="1" applyAlignment="1">
      <alignment horizontal="right"/>
    </xf>
    <xf numFmtId="0" fontId="15" fillId="19" borderId="0" xfId="26" applyFont="1" applyFill="1" applyBorder="1" applyAlignment="1">
      <alignment vertical="center"/>
    </xf>
    <xf numFmtId="0" fontId="15" fillId="19" borderId="0" xfId="26" applyFont="1" applyFill="1" applyBorder="1" applyAlignment="1">
      <alignment horizontal="right" vertical="center"/>
    </xf>
    <xf numFmtId="0" fontId="15" fillId="25" borderId="0" xfId="26" applyFont="1" applyFill="1" applyBorder="1" applyAlignment="1">
      <alignment vertical="center"/>
    </xf>
    <xf numFmtId="0" fontId="15" fillId="21" borderId="0" xfId="26" applyFont="1" applyFill="1" applyBorder="1" applyAlignment="1">
      <alignment vertical="center"/>
    </xf>
    <xf numFmtId="0" fontId="15" fillId="0" borderId="0" xfId="26" applyFont="1" applyBorder="1" applyAlignment="1">
      <alignment horizontal="right" vertical="center"/>
    </xf>
    <xf numFmtId="186" fontId="15" fillId="0" borderId="0" xfId="12" applyNumberFormat="1" applyFont="1" applyBorder="1" applyAlignment="1">
      <alignment horizontal="right"/>
    </xf>
    <xf numFmtId="1" fontId="15" fillId="0" borderId="0" xfId="26" applyNumberFormat="1" applyFont="1" applyBorder="1" applyAlignment="1">
      <alignment horizontal="right"/>
    </xf>
    <xf numFmtId="0" fontId="0" fillId="11" borderId="6" xfId="0" applyFont="1" applyFill="1" applyBorder="1" applyAlignment="1" applyProtection="1">
      <alignment horizontal="center"/>
      <protection locked="0"/>
    </xf>
    <xf numFmtId="0" fontId="0" fillId="11" borderId="6" xfId="0" applyFont="1" applyFill="1" applyBorder="1" applyAlignment="1" applyProtection="1">
      <alignment horizontal="center" wrapText="1"/>
      <protection locked="0"/>
    </xf>
    <xf numFmtId="181" fontId="0" fillId="14" borderId="6" xfId="0" applyNumberFormat="1" applyFont="1" applyFill="1" applyBorder="1" applyAlignment="1" applyProtection="1">
      <alignment horizontal="center"/>
      <protection locked="0"/>
    </xf>
    <xf numFmtId="0" fontId="0" fillId="14" borderId="6" xfId="0" applyFont="1" applyFill="1" applyBorder="1" applyAlignment="1" applyProtection="1">
      <alignment horizontal="center"/>
      <protection locked="0"/>
    </xf>
    <xf numFmtId="0" fontId="3" fillId="10" borderId="6" xfId="0" applyFont="1" applyFill="1" applyBorder="1" applyAlignment="1" applyProtection="1">
      <alignment horizontal="center"/>
    </xf>
    <xf numFmtId="49" fontId="0" fillId="8" borderId="6" xfId="0" applyNumberFormat="1" applyFill="1" applyBorder="1" applyAlignment="1" applyProtection="1">
      <alignment horizontal="center"/>
    </xf>
    <xf numFmtId="182" fontId="3" fillId="9" borderId="6" xfId="5" applyNumberFormat="1" applyFont="1" applyFill="1" applyBorder="1" applyAlignment="1" applyProtection="1">
      <alignment horizontal="center"/>
      <protection locked="0"/>
    </xf>
    <xf numFmtId="0" fontId="0" fillId="9" borderId="6" xfId="0" applyFont="1" applyFill="1" applyBorder="1" applyAlignment="1" applyProtection="1">
      <alignment horizontal="center" wrapText="1"/>
      <protection locked="0"/>
    </xf>
    <xf numFmtId="181" fontId="0" fillId="15" borderId="6" xfId="0" applyNumberFormat="1" applyFont="1" applyFill="1" applyBorder="1" applyAlignment="1" applyProtection="1">
      <alignment horizontal="center"/>
      <protection locked="0"/>
    </xf>
    <xf numFmtId="0" fontId="0" fillId="26" borderId="0" xfId="0" applyFill="1" applyAlignment="1">
      <alignment horizontal="right"/>
    </xf>
    <xf numFmtId="0" fontId="0" fillId="26" borderId="58" xfId="0" applyFill="1" applyBorder="1" applyAlignment="1">
      <alignment horizontal="right"/>
    </xf>
    <xf numFmtId="0" fontId="0" fillId="0" borderId="0" xfId="0" applyFill="1" applyAlignment="1">
      <alignment horizontal="left"/>
    </xf>
    <xf numFmtId="0" fontId="0" fillId="0" borderId="58" xfId="0" applyFill="1" applyBorder="1" applyAlignment="1">
      <alignment horizontal="left"/>
    </xf>
    <xf numFmtId="0" fontId="30" fillId="0" borderId="0" xfId="18" applyFont="1"/>
    <xf numFmtId="0" fontId="30" fillId="0" borderId="0" xfId="18" applyFont="1" applyAlignment="1">
      <alignment vertical="center"/>
    </xf>
    <xf numFmtId="0" fontId="37" fillId="0" borderId="0" xfId="18" applyFont="1" applyAlignment="1">
      <alignment vertical="center"/>
    </xf>
    <xf numFmtId="0" fontId="38" fillId="0" borderId="0" xfId="18" applyFont="1"/>
    <xf numFmtId="0" fontId="30" fillId="0" borderId="0" xfId="18" applyFont="1" applyAlignment="1">
      <alignment horizontal="left" wrapText="1"/>
    </xf>
    <xf numFmtId="0" fontId="30" fillId="0" borderId="0" xfId="18" applyFont="1" applyAlignment="1">
      <alignment horizontal="center"/>
    </xf>
    <xf numFmtId="0" fontId="30" fillId="0" borderId="0" xfId="18" applyFont="1" applyAlignment="1">
      <alignment horizontal="center" vertical="top"/>
    </xf>
    <xf numFmtId="0" fontId="17" fillId="2" borderId="0" xfId="0" applyFont="1" applyBorder="1" applyAlignment="1" applyProtection="1">
      <alignment horizontal="center" vertical="center"/>
    </xf>
    <xf numFmtId="0" fontId="39" fillId="0" borderId="0" xfId="18" applyFont="1" applyAlignment="1">
      <alignment horizontal="center"/>
    </xf>
    <xf numFmtId="0" fontId="39" fillId="0" borderId="0" xfId="18" applyFont="1"/>
    <xf numFmtId="0" fontId="40" fillId="24" borderId="0" xfId="18" applyFont="1" applyFill="1" applyAlignment="1">
      <alignment horizontal="left"/>
    </xf>
    <xf numFmtId="0" fontId="0" fillId="2" borderId="0" xfId="0" applyAlignment="1" applyProtection="1">
      <alignment horizontal="center" vertical="center" wrapText="1"/>
    </xf>
    <xf numFmtId="0" fontId="3" fillId="2" borderId="17" xfId="0" applyFont="1" applyFill="1" applyBorder="1" applyAlignment="1" applyProtection="1">
      <alignment horizontal="center" vertical="center" wrapText="1"/>
    </xf>
    <xf numFmtId="49" fontId="0" fillId="2" borderId="11" xfId="0" applyNumberFormat="1" applyBorder="1" applyAlignment="1" applyProtection="1">
      <alignment horizontal="center" vertical="center" wrapText="1"/>
    </xf>
    <xf numFmtId="0" fontId="3" fillId="2" borderId="12" xfId="0" applyFont="1" applyBorder="1" applyAlignment="1" applyProtection="1">
      <alignment horizontal="center" vertical="center" wrapText="1"/>
    </xf>
    <xf numFmtId="0" fontId="3" fillId="6" borderId="6" xfId="0" applyFont="1" applyFill="1" applyBorder="1" applyAlignment="1" applyProtection="1">
      <alignment horizontal="center" vertical="center" wrapText="1"/>
    </xf>
    <xf numFmtId="0" fontId="0" fillId="2" borderId="18" xfId="0" applyBorder="1" applyAlignment="1" applyProtection="1">
      <alignment horizontal="center" vertical="center" wrapText="1"/>
    </xf>
    <xf numFmtId="0" fontId="0" fillId="2" borderId="0" xfId="0" applyBorder="1" applyAlignment="1" applyProtection="1">
      <alignment horizontal="center" vertical="center" wrapText="1"/>
    </xf>
    <xf numFmtId="0" fontId="0" fillId="2" borderId="0" xfId="0" applyAlignment="1">
      <alignment horizontal="center" vertical="center" wrapText="1"/>
    </xf>
    <xf numFmtId="0" fontId="36" fillId="9" borderId="6" xfId="11" applyFont="1" applyFill="1" applyBorder="1" applyAlignment="1" applyProtection="1">
      <alignment horizontal="center" vertical="top" wrapText="1"/>
      <protection locked="0"/>
    </xf>
    <xf numFmtId="0" fontId="7" fillId="2" borderId="20" xfId="0" applyFont="1" applyBorder="1" applyAlignment="1" applyProtection="1">
      <alignment horizontal="left" vertical="center" indent="1"/>
    </xf>
    <xf numFmtId="0" fontId="41" fillId="2" borderId="0" xfId="0" applyFont="1" applyAlignment="1">
      <alignment vertical="center"/>
    </xf>
    <xf numFmtId="0" fontId="4" fillId="6" borderId="0" xfId="8" applyFont="1" applyFill="1" applyBorder="1" applyAlignment="1" applyProtection="1">
      <alignment horizontal="left" vertical="center" indent="1"/>
    </xf>
    <xf numFmtId="0" fontId="7" fillId="6" borderId="0" xfId="8" applyFont="1" applyFill="1" applyBorder="1" applyAlignment="1" applyProtection="1">
      <alignment vertical="center"/>
    </xf>
    <xf numFmtId="0" fontId="0" fillId="12" borderId="10" xfId="0" applyFont="1" applyFill="1" applyBorder="1" applyAlignment="1" applyProtection="1">
      <alignment horizontal="left" vertical="center" indent="1"/>
    </xf>
    <xf numFmtId="0" fontId="0" fillId="12" borderId="11" xfId="0" applyFont="1" applyFill="1" applyBorder="1" applyAlignment="1" applyProtection="1">
      <alignment horizontal="left" vertical="center" indent="1"/>
    </xf>
    <xf numFmtId="0" fontId="5" fillId="2" borderId="0" xfId="0" applyFont="1" applyBorder="1" applyAlignment="1" applyProtection="1">
      <alignment horizontal="center" vertical="center" wrapText="1"/>
    </xf>
    <xf numFmtId="0" fontId="0" fillId="0" borderId="0" xfId="0" applyFont="1" applyFill="1" applyAlignment="1">
      <alignment horizontal="right"/>
    </xf>
    <xf numFmtId="0" fontId="0" fillId="12" borderId="10" xfId="0" applyFont="1" applyFill="1" applyBorder="1" applyAlignment="1" applyProtection="1">
      <alignment horizontal="left" vertical="center" indent="1"/>
    </xf>
    <xf numFmtId="0" fontId="0" fillId="12" borderId="11" xfId="0" applyFont="1" applyFill="1" applyBorder="1" applyAlignment="1" applyProtection="1">
      <alignment horizontal="left" vertical="center" indent="1"/>
    </xf>
    <xf numFmtId="0" fontId="3" fillId="12" borderId="21" xfId="0" applyFont="1" applyFill="1" applyBorder="1" applyAlignment="1" applyProtection="1">
      <alignment horizontal="left" vertical="center" indent="1"/>
    </xf>
    <xf numFmtId="0" fontId="5" fillId="2" borderId="0" xfId="0" applyFont="1" applyBorder="1" applyAlignment="1" applyProtection="1">
      <alignment horizontal="center" vertical="center" wrapText="1"/>
    </xf>
    <xf numFmtId="0" fontId="5" fillId="6" borderId="0" xfId="8" applyFont="1" applyFill="1" applyBorder="1" applyAlignment="1" applyProtection="1">
      <alignment horizontal="center" vertical="center" wrapText="1"/>
    </xf>
    <xf numFmtId="49" fontId="5" fillId="8" borderId="13" xfId="0" applyNumberFormat="1" applyFont="1" applyFill="1" applyBorder="1" applyAlignment="1" applyProtection="1">
      <alignment horizontal="left" vertical="center" wrapText="1"/>
    </xf>
    <xf numFmtId="49" fontId="5" fillId="13" borderId="9" xfId="0" applyNumberFormat="1" applyFont="1" applyFill="1" applyBorder="1" applyAlignment="1" applyProtection="1">
      <alignment horizontal="left" vertical="center" wrapText="1"/>
    </xf>
    <xf numFmtId="0" fontId="18" fillId="17" borderId="24" xfId="0" applyFont="1" applyFill="1" applyBorder="1" applyAlignment="1" applyProtection="1">
      <alignment horizontal="center" vertical="center"/>
      <protection locked="0"/>
    </xf>
    <xf numFmtId="0" fontId="18" fillId="17" borderId="25" xfId="0" applyFont="1" applyFill="1" applyBorder="1" applyAlignment="1" applyProtection="1">
      <alignment horizontal="center" vertical="center"/>
      <protection locked="0"/>
    </xf>
    <xf numFmtId="0" fontId="18" fillId="17" borderId="26" xfId="0" applyFont="1" applyFill="1" applyBorder="1" applyAlignment="1" applyProtection="1">
      <alignment horizontal="center" vertical="center"/>
      <protection locked="0"/>
    </xf>
    <xf numFmtId="0" fontId="6" fillId="2" borderId="0" xfId="7" applyFont="1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left" vertical="center" wrapText="1" indent="1"/>
    </xf>
    <xf numFmtId="0" fontId="0" fillId="6" borderId="11" xfId="0" applyFill="1" applyBorder="1" applyAlignment="1" applyProtection="1">
      <alignment horizontal="left" vertical="center" wrapText="1" indent="1"/>
    </xf>
    <xf numFmtId="0" fontId="0" fillId="6" borderId="12" xfId="0" applyFill="1" applyBorder="1" applyAlignment="1" applyProtection="1">
      <alignment horizontal="left" vertical="center" wrapText="1" indent="1"/>
    </xf>
    <xf numFmtId="0" fontId="0" fillId="12" borderId="10" xfId="0" applyFont="1" applyFill="1" applyBorder="1" applyAlignment="1" applyProtection="1">
      <alignment horizontal="left" vertical="center" wrapText="1" indent="1"/>
    </xf>
    <xf numFmtId="0" fontId="0" fillId="12" borderId="11" xfId="0" applyFont="1" applyFill="1" applyBorder="1" applyAlignment="1" applyProtection="1">
      <alignment horizontal="left" vertical="center" wrapText="1" indent="1"/>
    </xf>
    <xf numFmtId="0" fontId="0" fillId="12" borderId="12" xfId="0" applyFont="1" applyFill="1" applyBorder="1" applyAlignment="1" applyProtection="1">
      <alignment horizontal="left" vertical="center" wrapText="1" indent="1"/>
    </xf>
    <xf numFmtId="0" fontId="0" fillId="12" borderId="6" xfId="0" applyFont="1" applyFill="1" applyBorder="1" applyAlignment="1" applyProtection="1">
      <alignment horizontal="left" vertical="center" wrapText="1" indent="1"/>
    </xf>
    <xf numFmtId="0" fontId="24" fillId="18" borderId="32" xfId="18" applyFont="1" applyFill="1" applyBorder="1" applyAlignment="1" applyProtection="1">
      <alignment horizontal="center" vertical="top" wrapText="1"/>
    </xf>
    <xf numFmtId="0" fontId="24" fillId="18" borderId="1" xfId="18" applyFont="1" applyFill="1" applyBorder="1" applyAlignment="1" applyProtection="1">
      <alignment horizontal="center" vertical="top" wrapText="1"/>
    </xf>
    <xf numFmtId="0" fontId="24" fillId="18" borderId="33" xfId="18" applyFont="1" applyFill="1" applyBorder="1" applyAlignment="1" applyProtection="1">
      <alignment horizontal="center" vertical="top" wrapText="1"/>
    </xf>
    <xf numFmtId="0" fontId="20" fillId="0" borderId="27" xfId="18" applyFont="1" applyBorder="1" applyAlignment="1">
      <alignment horizontal="left" vertical="center"/>
    </xf>
    <xf numFmtId="0" fontId="22" fillId="18" borderId="28" xfId="18" applyFont="1" applyFill="1" applyBorder="1" applyAlignment="1" applyProtection="1">
      <alignment horizontal="center" vertical="center"/>
    </xf>
    <xf numFmtId="0" fontId="22" fillId="18" borderId="29" xfId="18" applyFont="1" applyFill="1" applyBorder="1" applyAlignment="1" applyProtection="1">
      <alignment horizontal="center" vertical="center"/>
    </xf>
    <xf numFmtId="0" fontId="22" fillId="18" borderId="30" xfId="18" applyFont="1" applyFill="1" applyBorder="1" applyAlignment="1" applyProtection="1">
      <alignment horizontal="center" vertical="center"/>
    </xf>
    <xf numFmtId="0" fontId="23" fillId="20" borderId="31" xfId="18" applyFont="1" applyFill="1" applyBorder="1" applyAlignment="1" applyProtection="1">
      <alignment horizontal="center" vertical="center"/>
    </xf>
    <xf numFmtId="0" fontId="23" fillId="21" borderId="31" xfId="18" applyFont="1" applyFill="1" applyBorder="1" applyAlignment="1" applyProtection="1">
      <alignment horizontal="center" vertical="center" wrapText="1"/>
    </xf>
    <xf numFmtId="0" fontId="23" fillId="22" borderId="31" xfId="18" applyFont="1" applyFill="1" applyBorder="1" applyAlignment="1" applyProtection="1">
      <alignment horizontal="center" vertical="center"/>
    </xf>
    <xf numFmtId="0" fontId="23" fillId="23" borderId="31" xfId="18" applyFont="1" applyFill="1" applyBorder="1" applyAlignment="1" applyProtection="1">
      <alignment horizontal="center" vertical="center" wrapText="1"/>
    </xf>
    <xf numFmtId="0" fontId="24" fillId="18" borderId="32" xfId="26" applyFont="1" applyFill="1" applyBorder="1" applyAlignment="1" applyProtection="1">
      <alignment horizontal="center" vertical="top" wrapText="1"/>
    </xf>
    <xf numFmtId="0" fontId="24" fillId="18" borderId="1" xfId="26" applyFont="1" applyFill="1" applyBorder="1" applyAlignment="1" applyProtection="1">
      <alignment horizontal="center" vertical="top" wrapText="1"/>
    </xf>
    <xf numFmtId="0" fontId="24" fillId="18" borderId="33" xfId="26" applyFont="1" applyFill="1" applyBorder="1" applyAlignment="1" applyProtection="1">
      <alignment horizontal="center" vertical="top" wrapText="1"/>
    </xf>
    <xf numFmtId="0" fontId="20" fillId="0" borderId="27" xfId="26" applyFont="1" applyBorder="1" applyAlignment="1">
      <alignment horizontal="left" vertical="center"/>
    </xf>
    <xf numFmtId="0" fontId="22" fillId="18" borderId="28" xfId="26" applyFont="1" applyFill="1" applyBorder="1" applyAlignment="1" applyProtection="1">
      <alignment horizontal="center" vertical="center"/>
    </xf>
    <xf numFmtId="0" fontId="22" fillId="18" borderId="29" xfId="26" applyFont="1" applyFill="1" applyBorder="1" applyAlignment="1" applyProtection="1">
      <alignment horizontal="center" vertical="center"/>
    </xf>
    <xf numFmtId="0" fontId="22" fillId="18" borderId="30" xfId="26" applyFont="1" applyFill="1" applyBorder="1" applyAlignment="1" applyProtection="1">
      <alignment horizontal="center" vertical="center"/>
    </xf>
    <xf numFmtId="0" fontId="23" fillId="20" borderId="31" xfId="26" applyFont="1" applyFill="1" applyBorder="1" applyAlignment="1" applyProtection="1">
      <alignment horizontal="center" vertical="center"/>
    </xf>
    <xf numFmtId="0" fontId="23" fillId="21" borderId="31" xfId="26" applyFont="1" applyFill="1" applyBorder="1" applyAlignment="1" applyProtection="1">
      <alignment horizontal="center" vertical="center" wrapText="1"/>
    </xf>
    <xf numFmtId="0" fontId="23" fillId="22" borderId="31" xfId="26" applyFont="1" applyFill="1" applyBorder="1" applyAlignment="1" applyProtection="1">
      <alignment horizontal="center" vertical="center"/>
    </xf>
    <xf numFmtId="0" fontId="23" fillId="23" borderId="31" xfId="26" applyFont="1" applyFill="1" applyBorder="1" applyAlignment="1" applyProtection="1">
      <alignment horizontal="center" vertical="center" wrapText="1"/>
    </xf>
    <xf numFmtId="0" fontId="33" fillId="6" borderId="24" xfId="26" applyFont="1" applyFill="1" applyBorder="1" applyAlignment="1" applyProtection="1">
      <alignment horizontal="center" vertical="center"/>
      <protection locked="0"/>
    </xf>
    <xf numFmtId="0" fontId="33" fillId="6" borderId="25" xfId="26" applyFont="1" applyFill="1" applyBorder="1" applyAlignment="1" applyProtection="1">
      <alignment horizontal="center" vertical="center"/>
      <protection locked="0"/>
    </xf>
    <xf numFmtId="0" fontId="33" fillId="6" borderId="26" xfId="26" applyFont="1" applyFill="1" applyBorder="1" applyAlignment="1" applyProtection="1">
      <alignment horizontal="center" vertical="center"/>
      <protection locked="0"/>
    </xf>
  </cellXfs>
  <cellStyles count="28">
    <cellStyle name="Amounts" xfId="1"/>
    <cellStyle name="Bad" xfId="2" builtinId="27"/>
    <cellStyle name="Calculated" xfId="3"/>
    <cellStyle name="Category" xfId="4"/>
    <cellStyle name="Comma" xfId="5" builtinId="3"/>
    <cellStyle name="Comma 2" xfId="20"/>
    <cellStyle name="Comma 3" xfId="21"/>
    <cellStyle name="Comma 4" xfId="25"/>
    <cellStyle name="Comma 5" xfId="27"/>
    <cellStyle name="Comments" xfId="6"/>
    <cellStyle name="Heading 1" xfId="7"/>
    <cellStyle name="Heading 1 2" xfId="22"/>
    <cellStyle name="Heading 2" xfId="8"/>
    <cellStyle name="Heading 2 2" xfId="23"/>
    <cellStyle name="Heading 3" xfId="9"/>
    <cellStyle name="Heading 4" xfId="10"/>
    <cellStyle name="Hyperlink" xfId="11" builtinId="8"/>
    <cellStyle name="Normal" xfId="0" builtinId="0"/>
    <cellStyle name="Normal 2" xfId="18"/>
    <cellStyle name="Normal 2 2" xfId="19"/>
    <cellStyle name="Normal 3" xfId="26"/>
    <cellStyle name="Percent" xfId="12" builtinId="5"/>
    <cellStyle name="Percent 2" xfId="24"/>
    <cellStyle name="Remark" xfId="13"/>
    <cellStyle name="Total2" xfId="14"/>
    <cellStyle name="悪い 2" xfId="15"/>
    <cellStyle name="悪い 3" xfId="16"/>
    <cellStyle name="標準 2" xfId="17"/>
  </cellStyles>
  <dxfs count="32"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b val="0"/>
        <i val="0"/>
      </font>
      <border>
        <left style="thin">
          <color theme="1" tint="0.14996795556505021"/>
        </left>
        <right style="thin">
          <color theme="1" tint="0.14996795556505021"/>
        </right>
        <top style="thin">
          <color theme="1" tint="0.14996795556505021"/>
        </top>
        <bottom style="thin">
          <color theme="1" tint="0.14996795556505021"/>
        </bottom>
      </border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9" tint="-0.24994659260841701"/>
        <name val="Cambria"/>
        <scheme val="none"/>
      </font>
      <fill>
        <patternFill>
          <bgColor theme="9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  <dxf>
      <font>
        <color theme="5" tint="-0.24994659260841701"/>
      </font>
      <fill>
        <patternFill>
          <bgColor theme="5" tint="0.5999633777886288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6600"/>
      <rgbColor rgb="00008080"/>
      <rgbColor rgb="00C0C0C0"/>
      <rgbColor rgb="00808080"/>
      <rgbColor rgb="00000099"/>
      <rgbColor rgb="00000000"/>
      <rgbColor rgb="00FFFFFF"/>
      <rgbColor rgb="00CCFFFF"/>
      <rgbColor rgb="00660066"/>
      <rgbColor rgb="00FF8080"/>
      <rgbColor rgb="000066CC"/>
      <rgbColor rgb="00CCCCFF"/>
      <rgbColor rgb="00FF9966"/>
      <rgbColor rgb="00FFFFFF"/>
      <rgbColor rgb="00FFFF00"/>
      <rgbColor rgb="0099CCFF"/>
      <rgbColor rgb="0000FF0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E1E1E1"/>
      <rgbColor rgb="00FF6600"/>
      <rgbColor rgb="003366FF"/>
      <rgbColor rgb="0033CCCC"/>
      <rgbColor rgb="0099CC00"/>
      <rgbColor rgb="00FFCC00"/>
      <rgbColor rgb="00FF9900"/>
      <rgbColor rgb="00FF6600"/>
      <rgbColor rgb="0099CCFF"/>
      <rgbColor rgb="00969696"/>
      <rgbColor rgb="00003366"/>
      <rgbColor rgb="00339966"/>
      <rgbColor rgb="00003300"/>
      <rgbColor rgb="00333300"/>
      <rgbColor rgb="00993300"/>
      <rgbColor rgb="00FF9966"/>
      <rgbColor rgb="00000099"/>
      <rgbColor rgb="00666666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751965811965817E-2"/>
          <c:y val="9.0531597222222218E-2"/>
          <c:w val="0.9380279487179487"/>
          <c:h val="0.6755898148148148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- 2014'!$F$6</c:f>
              <c:strCache>
                <c:ptCount val="1"/>
                <c:pt idx="0">
                  <c:v>Total exposures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- 2014'!$F$7:$F$43</c:f>
              <c:numCache>
                <c:formatCode>###\ ###\ ###\ ###\ ##0</c:formatCode>
                <c:ptCount val="37"/>
                <c:pt idx="0">
                  <c:v>421311.04135842773</c:v>
                </c:pt>
                <c:pt idx="1">
                  <c:v>201384.52153600001</c:v>
                </c:pt>
                <c:pt idx="2">
                  <c:v>223336.85661293901</c:v>
                </c:pt>
                <c:pt idx="3">
                  <c:v>1940281.8017415577</c:v>
                </c:pt>
                <c:pt idx="4">
                  <c:v>275254.76980000001</c:v>
                </c:pt>
                <c:pt idx="5">
                  <c:v>723166.99252178636</c:v>
                </c:pt>
                <c:pt idx="6">
                  <c:v>234816.41103946773</c:v>
                </c:pt>
                <c:pt idx="7">
                  <c:v>2252752.4781192285</c:v>
                </c:pt>
                <c:pt idx="8">
                  <c:v>1336599.9354376059</c:v>
                </c:pt>
                <c:pt idx="9">
                  <c:v>655685.6</c:v>
                </c:pt>
                <c:pt idx="10">
                  <c:v>1723005.5889625901</c:v>
                </c:pt>
                <c:pt idx="11">
                  <c:v>695303.55137687246</c:v>
                </c:pt>
                <c:pt idx="12">
                  <c:v>494215.85136634496</c:v>
                </c:pt>
                <c:pt idx="13">
                  <c:v>1659337.4266617456</c:v>
                </c:pt>
                <c:pt idx="14">
                  <c:v>332370.63327132998</c:v>
                </c:pt>
                <c:pt idx="15">
                  <c:v>355518.68718637089</c:v>
                </c:pt>
                <c:pt idx="16">
                  <c:v>219007.88699999999</c:v>
                </c:pt>
                <c:pt idx="17">
                  <c:v>334417.22726097272</c:v>
                </c:pt>
                <c:pt idx="18">
                  <c:v>198878.45577728952</c:v>
                </c:pt>
                <c:pt idx="19">
                  <c:v>2679723.7473253459</c:v>
                </c:pt>
                <c:pt idx="20">
                  <c:v>1163853.3999999999</c:v>
                </c:pt>
                <c:pt idx="21">
                  <c:v>695873.05279999995</c:v>
                </c:pt>
                <c:pt idx="22">
                  <c:v>232376.24815421976</c:v>
                </c:pt>
                <c:pt idx="23">
                  <c:v>376672.80518630275</c:v>
                </c:pt>
                <c:pt idx="24">
                  <c:v>289931.27506001305</c:v>
                </c:pt>
                <c:pt idx="25">
                  <c:v>1107113.7497601504</c:v>
                </c:pt>
                <c:pt idx="26">
                  <c:v>276998.62646784983</c:v>
                </c:pt>
                <c:pt idx="27">
                  <c:v>654514.6</c:v>
                </c:pt>
                <c:pt idx="28">
                  <c:v>215609.09340000001</c:v>
                </c:pt>
                <c:pt idx="29">
                  <c:v>728314.7</c:v>
                </c:pt>
                <c:pt idx="30">
                  <c:v>1410546.7962546141</c:v>
                </c:pt>
                <c:pt idx="31">
                  <c:v>1455593.2001382192</c:v>
                </c:pt>
                <c:pt idx="32">
                  <c:v>310460.43219021655</c:v>
                </c:pt>
                <c:pt idx="33">
                  <c:v>1409198.164715013</c:v>
                </c:pt>
                <c:pt idx="34">
                  <c:v>714448.48372563068</c:v>
                </c:pt>
                <c:pt idx="35">
                  <c:v>248499.67050661848</c:v>
                </c:pt>
                <c:pt idx="36">
                  <c:v>1034420.94818684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7312896"/>
        <c:axId val="367314432"/>
      </c:barChart>
      <c:catAx>
        <c:axId val="36731289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 vert="horz"/>
          <a:lstStyle/>
          <a:p>
            <a:pPr>
              <a:defRPr sz="800" b="0"/>
            </a:pPr>
            <a:endParaRPr lang="en-US"/>
          </a:p>
        </c:txPr>
        <c:crossAx val="367314432"/>
        <c:crosses val="autoZero"/>
        <c:auto val="1"/>
        <c:lblAlgn val="ctr"/>
        <c:lblOffset val="100"/>
        <c:noMultiLvlLbl val="0"/>
      </c:catAx>
      <c:valAx>
        <c:axId val="36731443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36731289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9439316239316241E-2"/>
                <c:y val="3.5259259259259258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</a:t>
                  </a:r>
                  <a:endParaRPr lang="en-US"/>
                </a:p>
              </c:rich>
            </c:tx>
          </c:dispUnitsLbl>
        </c:dispUnits>
      </c:valAx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0581025641025635E-2"/>
          <c:y val="0.11698993055555555"/>
          <c:w val="0.94779717948717945"/>
          <c:h val="0.629532716049382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- 2014'!$G$6</c:f>
              <c:strCache>
                <c:ptCount val="1"/>
                <c:pt idx="0">
                  <c:v>Intra-financial system assets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- 2014'!$G$7:$G$43</c:f>
              <c:numCache>
                <c:formatCode>###\ ###\ ###\ ###\ ##0</c:formatCode>
                <c:ptCount val="37"/>
                <c:pt idx="0">
                  <c:v>93717.19336292558</c:v>
                </c:pt>
                <c:pt idx="1">
                  <c:v>37694.69442871002</c:v>
                </c:pt>
                <c:pt idx="2">
                  <c:v>29927.832055080005</c:v>
                </c:pt>
                <c:pt idx="3">
                  <c:v>281661.3965145665</c:v>
                </c:pt>
                <c:pt idx="4">
                  <c:v>76042.994000000006</c:v>
                </c:pt>
                <c:pt idx="5">
                  <c:v>36749.237011817473</c:v>
                </c:pt>
                <c:pt idx="6">
                  <c:v>7837.2001263908996</c:v>
                </c:pt>
                <c:pt idx="7">
                  <c:v>254082.08599559439</c:v>
                </c:pt>
                <c:pt idx="8">
                  <c:v>183786.95967553224</c:v>
                </c:pt>
                <c:pt idx="9">
                  <c:v>162975.12203953273</c:v>
                </c:pt>
                <c:pt idx="10">
                  <c:v>169965.76857090613</c:v>
                </c:pt>
                <c:pt idx="11">
                  <c:v>83507.573571378874</c:v>
                </c:pt>
                <c:pt idx="12">
                  <c:v>80384.553274331251</c:v>
                </c:pt>
                <c:pt idx="13">
                  <c:v>256612.8891260348</c:v>
                </c:pt>
                <c:pt idx="14">
                  <c:v>53039.476118561492</c:v>
                </c:pt>
                <c:pt idx="15">
                  <c:v>141834.12806160434</c:v>
                </c:pt>
                <c:pt idx="16">
                  <c:v>20338.735799999999</c:v>
                </c:pt>
                <c:pt idx="17">
                  <c:v>25767.966798084453</c:v>
                </c:pt>
                <c:pt idx="18">
                  <c:v>56998.971618690004</c:v>
                </c:pt>
                <c:pt idx="19">
                  <c:v>275978.09090489498</c:v>
                </c:pt>
                <c:pt idx="20">
                  <c:v>108188</c:v>
                </c:pt>
                <c:pt idx="21">
                  <c:v>104846.25757277828</c:v>
                </c:pt>
                <c:pt idx="22">
                  <c:v>26659.902213536061</c:v>
                </c:pt>
                <c:pt idx="23">
                  <c:v>12730.192768931034</c:v>
                </c:pt>
                <c:pt idx="24">
                  <c:v>117430.27130547</c:v>
                </c:pt>
                <c:pt idx="25">
                  <c:v>38861.214519263995</c:v>
                </c:pt>
                <c:pt idx="26">
                  <c:v>3894.3663184894212</c:v>
                </c:pt>
                <c:pt idx="27">
                  <c:v>105788</c:v>
                </c:pt>
                <c:pt idx="28">
                  <c:v>64527.695</c:v>
                </c:pt>
                <c:pt idx="29">
                  <c:v>34512</c:v>
                </c:pt>
                <c:pt idx="30">
                  <c:v>198053.66535398399</c:v>
                </c:pt>
                <c:pt idx="31">
                  <c:v>137532.72200000001</c:v>
                </c:pt>
                <c:pt idx="32">
                  <c:v>35795.003894020934</c:v>
                </c:pt>
                <c:pt idx="33">
                  <c:v>122442.22911711401</c:v>
                </c:pt>
                <c:pt idx="34">
                  <c:v>161793.00428011807</c:v>
                </c:pt>
                <c:pt idx="35">
                  <c:v>23540.558791843468</c:v>
                </c:pt>
                <c:pt idx="36">
                  <c:v>151185.36062522</c:v>
                </c:pt>
              </c:numCache>
            </c:numRef>
          </c:val>
        </c:ser>
        <c:ser>
          <c:idx val="2"/>
          <c:order val="1"/>
          <c:tx>
            <c:strRef>
              <c:f>'Summary - 2014'!$H$6</c:f>
              <c:strCache>
                <c:ptCount val="1"/>
                <c:pt idx="0">
                  <c:v>Intra-financial system liabilities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- 2014'!$H$7:$H$43</c:f>
              <c:numCache>
                <c:formatCode>###\ ###\ ###\ ###\ ##0</c:formatCode>
                <c:ptCount val="37"/>
                <c:pt idx="0">
                  <c:v>55090.776712084458</c:v>
                </c:pt>
                <c:pt idx="1">
                  <c:v>35849.153485960007</c:v>
                </c:pt>
                <c:pt idx="2">
                  <c:v>3639.9313609999999</c:v>
                </c:pt>
                <c:pt idx="3">
                  <c:v>324973.85187586921</c:v>
                </c:pt>
                <c:pt idx="4">
                  <c:v>110809.52800000001</c:v>
                </c:pt>
                <c:pt idx="5">
                  <c:v>63938.760947315364</c:v>
                </c:pt>
                <c:pt idx="6">
                  <c:v>19785.490371246608</c:v>
                </c:pt>
                <c:pt idx="7">
                  <c:v>418504.80131006974</c:v>
                </c:pt>
                <c:pt idx="8">
                  <c:v>212805.2477359217</c:v>
                </c:pt>
                <c:pt idx="9">
                  <c:v>192094.67046254207</c:v>
                </c:pt>
                <c:pt idx="10">
                  <c:v>191824.78312758589</c:v>
                </c:pt>
                <c:pt idx="11">
                  <c:v>50607.025781000601</c:v>
                </c:pt>
                <c:pt idx="12">
                  <c:v>15645.749638890598</c:v>
                </c:pt>
                <c:pt idx="13">
                  <c:v>192667.86326144528</c:v>
                </c:pt>
                <c:pt idx="14">
                  <c:v>24759.751381169233</c:v>
                </c:pt>
                <c:pt idx="15">
                  <c:v>119363.46923570333</c:v>
                </c:pt>
                <c:pt idx="16">
                  <c:v>23339.547600000002</c:v>
                </c:pt>
                <c:pt idx="17">
                  <c:v>44297.033761172861</c:v>
                </c:pt>
                <c:pt idx="18">
                  <c:v>85462.608150140004</c:v>
                </c:pt>
                <c:pt idx="19">
                  <c:v>328865.00304732501</c:v>
                </c:pt>
                <c:pt idx="20">
                  <c:v>103564</c:v>
                </c:pt>
                <c:pt idx="21">
                  <c:v>73097.549928273671</c:v>
                </c:pt>
                <c:pt idx="22">
                  <c:v>61353.295474542836</c:v>
                </c:pt>
                <c:pt idx="23">
                  <c:v>25678.126631172767</c:v>
                </c:pt>
                <c:pt idx="24">
                  <c:v>120479.71119680001</c:v>
                </c:pt>
                <c:pt idx="25">
                  <c:v>78565.926277919993</c:v>
                </c:pt>
                <c:pt idx="26">
                  <c:v>8784.6331839481845</c:v>
                </c:pt>
                <c:pt idx="27">
                  <c:v>60002</c:v>
                </c:pt>
                <c:pt idx="28">
                  <c:v>76319.760999999999</c:v>
                </c:pt>
                <c:pt idx="29">
                  <c:v>45074</c:v>
                </c:pt>
                <c:pt idx="30">
                  <c:v>203226.34477180798</c:v>
                </c:pt>
                <c:pt idx="31">
                  <c:v>223168.53481087001</c:v>
                </c:pt>
                <c:pt idx="32">
                  <c:v>48244.555206894518</c:v>
                </c:pt>
                <c:pt idx="33">
                  <c:v>176915.7925237384</c:v>
                </c:pt>
                <c:pt idx="34">
                  <c:v>149839.63625494618</c:v>
                </c:pt>
                <c:pt idx="35">
                  <c:v>23949.048730664483</c:v>
                </c:pt>
                <c:pt idx="36">
                  <c:v>214723.14511478</c:v>
                </c:pt>
              </c:numCache>
            </c:numRef>
          </c:val>
        </c:ser>
        <c:ser>
          <c:idx val="3"/>
          <c:order val="2"/>
          <c:tx>
            <c:strRef>
              <c:f>'Summary - 2014'!$I$6</c:f>
              <c:strCache>
                <c:ptCount val="1"/>
                <c:pt idx="0">
                  <c:v>Securities outstanding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- 2014'!$I$7:$I$43</c:f>
              <c:numCache>
                <c:formatCode>###\ ###\ ###\ ###\ ##0</c:formatCode>
                <c:ptCount val="37"/>
                <c:pt idx="0">
                  <c:v>77325.758000000002</c:v>
                </c:pt>
                <c:pt idx="1">
                  <c:v>51817.975521250002</c:v>
                </c:pt>
                <c:pt idx="2">
                  <c:v>11848.675999999999</c:v>
                </c:pt>
                <c:pt idx="3">
                  <c:v>243981.3469333195</c:v>
                </c:pt>
                <c:pt idx="4">
                  <c:v>49074.374000000003</c:v>
                </c:pt>
                <c:pt idx="5">
                  <c:v>147321.21443264865</c:v>
                </c:pt>
                <c:pt idx="6">
                  <c:v>41765.503737000006</c:v>
                </c:pt>
                <c:pt idx="7">
                  <c:v>336180.66970820725</c:v>
                </c:pt>
                <c:pt idx="8">
                  <c:v>290410.34455779003</c:v>
                </c:pt>
                <c:pt idx="9">
                  <c:v>78549</c:v>
                </c:pt>
                <c:pt idx="10">
                  <c:v>261774.08390481849</c:v>
                </c:pt>
                <c:pt idx="11">
                  <c:v>142326.97223869734</c:v>
                </c:pt>
                <c:pt idx="12">
                  <c:v>166144.12691892835</c:v>
                </c:pt>
                <c:pt idx="13">
                  <c:v>229542.20710452</c:v>
                </c:pt>
                <c:pt idx="14">
                  <c:v>91214.657863389846</c:v>
                </c:pt>
                <c:pt idx="15">
                  <c:v>87103.793563304236</c:v>
                </c:pt>
                <c:pt idx="16">
                  <c:v>39447.939400000003</c:v>
                </c:pt>
                <c:pt idx="17">
                  <c:v>157075.07859153967</c:v>
                </c:pt>
                <c:pt idx="18">
                  <c:v>55506.339475150002</c:v>
                </c:pt>
                <c:pt idx="19">
                  <c:v>343689.15263055899</c:v>
                </c:pt>
                <c:pt idx="20">
                  <c:v>137374</c:v>
                </c:pt>
                <c:pt idx="21">
                  <c:v>172045.0602267099</c:v>
                </c:pt>
                <c:pt idx="22">
                  <c:v>23412.692348888115</c:v>
                </c:pt>
                <c:pt idx="23">
                  <c:v>77206.892144779209</c:v>
                </c:pt>
                <c:pt idx="24">
                  <c:v>58651.76956991</c:v>
                </c:pt>
                <c:pt idx="25">
                  <c:v>216311.46480815997</c:v>
                </c:pt>
                <c:pt idx="26">
                  <c:v>39190.580765732397</c:v>
                </c:pt>
                <c:pt idx="27">
                  <c:v>241255</c:v>
                </c:pt>
                <c:pt idx="28">
                  <c:v>47393.875999999997</c:v>
                </c:pt>
                <c:pt idx="29">
                  <c:v>201592</c:v>
                </c:pt>
                <c:pt idx="30">
                  <c:v>135289.51079971198</c:v>
                </c:pt>
                <c:pt idx="31">
                  <c:v>318504.31018091686</c:v>
                </c:pt>
                <c:pt idx="32">
                  <c:v>100962.18948681638</c:v>
                </c:pt>
                <c:pt idx="33">
                  <c:v>200579.04623444</c:v>
                </c:pt>
                <c:pt idx="34">
                  <c:v>118884.71505245578</c:v>
                </c:pt>
                <c:pt idx="35">
                  <c:v>114656.00504041764</c:v>
                </c:pt>
                <c:pt idx="36">
                  <c:v>186115.18783683999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7690112"/>
        <c:axId val="367691648"/>
      </c:barChart>
      <c:catAx>
        <c:axId val="367690112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367691648"/>
        <c:crosses val="autoZero"/>
        <c:auto val="1"/>
        <c:lblAlgn val="ctr"/>
        <c:lblOffset val="100"/>
        <c:noMultiLvlLbl val="0"/>
      </c:catAx>
      <c:valAx>
        <c:axId val="367691648"/>
        <c:scaling>
          <c:orientation val="minMax"/>
          <c:max val="450000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367690112"/>
        <c:crosses val="autoZero"/>
        <c:crossBetween val="between"/>
        <c:majorUnit val="75000"/>
        <c:dispUnits>
          <c:builtInUnit val="thousands"/>
          <c:dispUnitsLbl>
            <c:layout>
              <c:manualLayout>
                <c:xMode val="edge"/>
                <c:yMode val="edge"/>
                <c:x val="2.5029572649572649E-2"/>
                <c:y val="1.5285185185185185E-2"/>
              </c:manualLayout>
            </c:layout>
            <c:tx>
              <c:rich>
                <a:bodyPr rot="0" vert="horz"/>
                <a:lstStyle/>
                <a:p>
                  <a:pPr marL="0" marR="0" indent="0" algn="ctr" defTabSz="914400" rtl="0" eaLnBrk="1" fontAlgn="auto" latinLnBrk="0" hangingPunct="1">
                    <a:lnSpc>
                      <a:spcPct val="100000"/>
                    </a:lnSpc>
                    <a:spcBef>
                      <a:spcPts val="0"/>
                    </a:spcBef>
                    <a:spcAft>
                      <a:spcPts val="0"/>
                    </a:spcAft>
                    <a:buClrTx/>
                    <a:buSzTx/>
                    <a:buFontTx/>
                    <a:buNone/>
                    <a:tabLst/>
                    <a:defRPr sz="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r>
                    <a:rPr lang="en-US" sz="1000" b="1" i="0" baseline="0">
                      <a:effectLst/>
                    </a:rPr>
                    <a:t>10^9</a:t>
                  </a:r>
                  <a:endParaRPr lang="en-GB" sz="400">
                    <a:effectLst/>
                  </a:endParaRPr>
                </a:p>
              </c:rich>
            </c:tx>
          </c:dispUnitsLbl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534786324786322E-2"/>
          <c:y val="0.10131080246913581"/>
          <c:w val="0.92508982905982906"/>
          <c:h val="0.62508518518518519"/>
        </c:manualLayout>
      </c:layout>
      <c:barChart>
        <c:barDir val="col"/>
        <c:grouping val="clustered"/>
        <c:varyColors val="0"/>
        <c:ser>
          <c:idx val="2"/>
          <c:order val="1"/>
          <c:tx>
            <c:strRef>
              <c:f>'Summary - 2014'!$N$6</c:f>
              <c:strCache>
                <c:ptCount val="1"/>
                <c:pt idx="0">
                  <c:v>Trading and AFS securities</c:v>
                </c:pt>
              </c:strCache>
            </c:strRef>
          </c:tx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- 2014'!$N$7:$N$43</c:f>
              <c:numCache>
                <c:formatCode>###\ ###\ ###\ ###\ ##0</c:formatCode>
                <c:ptCount val="37"/>
                <c:pt idx="0">
                  <c:v>1668.3330000000001</c:v>
                </c:pt>
                <c:pt idx="1">
                  <c:v>18976.498584892965</c:v>
                </c:pt>
                <c:pt idx="2">
                  <c:v>14654.94</c:v>
                </c:pt>
                <c:pt idx="3">
                  <c:v>112857.71558884786</c:v>
                </c:pt>
                <c:pt idx="4">
                  <c:v>3601.4960000000001</c:v>
                </c:pt>
                <c:pt idx="5">
                  <c:v>19155.472222598866</c:v>
                </c:pt>
                <c:pt idx="6">
                  <c:v>4058.7336813499851</c:v>
                </c:pt>
                <c:pt idx="7">
                  <c:v>206934.74233544813</c:v>
                </c:pt>
                <c:pt idx="8">
                  <c:v>18866.518499999976</c:v>
                </c:pt>
                <c:pt idx="9">
                  <c:v>49525</c:v>
                </c:pt>
                <c:pt idx="10">
                  <c:v>52721.486849131019</c:v>
                </c:pt>
                <c:pt idx="11">
                  <c:v>30340.100494127633</c:v>
                </c:pt>
                <c:pt idx="12">
                  <c:v>2706.9438151020172</c:v>
                </c:pt>
                <c:pt idx="13">
                  <c:v>70196.278216659994</c:v>
                </c:pt>
                <c:pt idx="14">
                  <c:v>2176.1496520846781</c:v>
                </c:pt>
                <c:pt idx="15">
                  <c:v>30933.791963</c:v>
                </c:pt>
                <c:pt idx="16">
                  <c:v>9748</c:v>
                </c:pt>
                <c:pt idx="17">
                  <c:v>6497.2741324360641</c:v>
                </c:pt>
                <c:pt idx="18">
                  <c:v>28181.844601434601</c:v>
                </c:pt>
                <c:pt idx="19">
                  <c:v>48417.758034271996</c:v>
                </c:pt>
                <c:pt idx="20">
                  <c:v>21129</c:v>
                </c:pt>
                <c:pt idx="21">
                  <c:v>20124.129108237215</c:v>
                </c:pt>
                <c:pt idx="22">
                  <c:v>4630.1505990000005</c:v>
                </c:pt>
                <c:pt idx="23">
                  <c:v>3780.582130590476</c:v>
                </c:pt>
                <c:pt idx="24">
                  <c:v>26571.314690669999</c:v>
                </c:pt>
                <c:pt idx="25">
                  <c:v>2373.860571744</c:v>
                </c:pt>
                <c:pt idx="26">
                  <c:v>3604.3044898371036</c:v>
                </c:pt>
                <c:pt idx="27">
                  <c:v>39204</c:v>
                </c:pt>
                <c:pt idx="28">
                  <c:v>21122.29</c:v>
                </c:pt>
                <c:pt idx="29">
                  <c:v>1120</c:v>
                </c:pt>
                <c:pt idx="30">
                  <c:v>30842.213366687996</c:v>
                </c:pt>
                <c:pt idx="31">
                  <c:v>43702.820613224219</c:v>
                </c:pt>
                <c:pt idx="32">
                  <c:v>17091.223869399295</c:v>
                </c:pt>
                <c:pt idx="33">
                  <c:v>108455.04863234995</c:v>
                </c:pt>
                <c:pt idx="34">
                  <c:v>46676.288632198208</c:v>
                </c:pt>
                <c:pt idx="35">
                  <c:v>4330.2219685577247</c:v>
                </c:pt>
                <c:pt idx="36">
                  <c:v>42445.004999999997</c:v>
                </c:pt>
              </c:numCache>
            </c:numRef>
          </c:val>
        </c:ser>
        <c:ser>
          <c:idx val="3"/>
          <c:order val="2"/>
          <c:tx>
            <c:strRef>
              <c:f>'Summary - 2014'!$O$6</c:f>
              <c:strCache>
                <c:ptCount val="1"/>
                <c:pt idx="0">
                  <c:v>Level 3 assets</c:v>
                </c:pt>
              </c:strCache>
            </c:strRef>
          </c:tx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- 2014'!$O$7:$O$43</c:f>
              <c:numCache>
                <c:formatCode>###\ ###\ ###\ ###\ ##0</c:formatCode>
                <c:ptCount val="37"/>
                <c:pt idx="0">
                  <c:v>2005.2819999999999</c:v>
                </c:pt>
                <c:pt idx="1">
                  <c:v>362.38</c:v>
                </c:pt>
                <c:pt idx="2">
                  <c:v>252.96750700000001</c:v>
                </c:pt>
                <c:pt idx="3">
                  <c:v>41522.920355944356</c:v>
                </c:pt>
                <c:pt idx="4">
                  <c:v>3155.4749999999999</c:v>
                </c:pt>
                <c:pt idx="5">
                  <c:v>762.16399999999999</c:v>
                </c:pt>
                <c:pt idx="6">
                  <c:v>148.68600000000001</c:v>
                </c:pt>
                <c:pt idx="7">
                  <c:v>27409.916506999998</c:v>
                </c:pt>
                <c:pt idx="8">
                  <c:v>15388.353000000001</c:v>
                </c:pt>
                <c:pt idx="9">
                  <c:v>5722</c:v>
                </c:pt>
                <c:pt idx="10">
                  <c:v>6566.1748301277212</c:v>
                </c:pt>
                <c:pt idx="11">
                  <c:v>6997.8938317505299</c:v>
                </c:pt>
                <c:pt idx="12">
                  <c:v>1033.134996024</c:v>
                </c:pt>
                <c:pt idx="13">
                  <c:v>28480.571241769998</c:v>
                </c:pt>
                <c:pt idx="14">
                  <c:v>12070.906314470134</c:v>
                </c:pt>
                <c:pt idx="15">
                  <c:v>3747.1109540000002</c:v>
                </c:pt>
                <c:pt idx="16">
                  <c:v>602</c:v>
                </c:pt>
                <c:pt idx="17">
                  <c:v>170.55807495546802</c:v>
                </c:pt>
                <c:pt idx="18">
                  <c:v>855.18222775000004</c:v>
                </c:pt>
                <c:pt idx="19">
                  <c:v>14522.691713056</c:v>
                </c:pt>
                <c:pt idx="20">
                  <c:v>1603</c:v>
                </c:pt>
                <c:pt idx="21">
                  <c:v>6128.0609999999997</c:v>
                </c:pt>
                <c:pt idx="22">
                  <c:v>3884</c:v>
                </c:pt>
                <c:pt idx="23">
                  <c:v>965.35299999999995</c:v>
                </c:pt>
                <c:pt idx="24">
                  <c:v>2001.7227124000001</c:v>
                </c:pt>
                <c:pt idx="25">
                  <c:v>6853.2545873279996</c:v>
                </c:pt>
                <c:pt idx="26">
                  <c:v>118.30259261383172</c:v>
                </c:pt>
                <c:pt idx="27">
                  <c:v>2764</c:v>
                </c:pt>
                <c:pt idx="28">
                  <c:v>563.02599999999995</c:v>
                </c:pt>
                <c:pt idx="29">
                  <c:v>3976</c:v>
                </c:pt>
                <c:pt idx="30">
                  <c:v>6813.454869792</c:v>
                </c:pt>
                <c:pt idx="31">
                  <c:v>2557.0740000000001</c:v>
                </c:pt>
                <c:pt idx="32">
                  <c:v>3552.4326583120005</c:v>
                </c:pt>
                <c:pt idx="33">
                  <c:v>7166.2195670000001</c:v>
                </c:pt>
                <c:pt idx="34">
                  <c:v>3073.0582339729999</c:v>
                </c:pt>
                <c:pt idx="35">
                  <c:v>16.821036921999998</c:v>
                </c:pt>
                <c:pt idx="36">
                  <c:v>6919.402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100"/>
        <c:axId val="369369856"/>
        <c:axId val="369371392"/>
      </c:barChart>
      <c:barChart>
        <c:barDir val="col"/>
        <c:grouping val="clustered"/>
        <c:varyColors val="0"/>
        <c:ser>
          <c:idx val="1"/>
          <c:order val="0"/>
          <c:tx>
            <c:v>OTC derivatives (RHS)</c:v>
          </c:tx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- 2014'!$M$7:$M$43</c:f>
              <c:numCache>
                <c:formatCode>###\ ###\ ###\ ###\ ##0</c:formatCode>
                <c:ptCount val="37"/>
                <c:pt idx="0">
                  <c:v>1097406</c:v>
                </c:pt>
                <c:pt idx="1">
                  <c:v>200310.10625154435</c:v>
                </c:pt>
                <c:pt idx="2">
                  <c:v>60329.492696000001</c:v>
                </c:pt>
                <c:pt idx="3">
                  <c:v>38237786.608332671</c:v>
                </c:pt>
                <c:pt idx="4">
                  <c:v>1551013.2649999999</c:v>
                </c:pt>
                <c:pt idx="5">
                  <c:v>1778441.1746698492</c:v>
                </c:pt>
                <c:pt idx="6">
                  <c:v>403170.23743299994</c:v>
                </c:pt>
                <c:pt idx="7">
                  <c:v>35228738.603993937</c:v>
                </c:pt>
                <c:pt idx="8">
                  <c:v>10737927.572333001</c:v>
                </c:pt>
                <c:pt idx="9">
                  <c:v>5009289.4371610004</c:v>
                </c:pt>
                <c:pt idx="10">
                  <c:v>13018629.173734199</c:v>
                </c:pt>
                <c:pt idx="11">
                  <c:v>611213.09482190898</c:v>
                </c:pt>
                <c:pt idx="12">
                  <c:v>6285098.104066602</c:v>
                </c:pt>
                <c:pt idx="13">
                  <c:v>47271160.199587777</c:v>
                </c:pt>
                <c:pt idx="14">
                  <c:v>814703.8951194291</c:v>
                </c:pt>
                <c:pt idx="15">
                  <c:v>856835.25528007012</c:v>
                </c:pt>
                <c:pt idx="16">
                  <c:v>227489</c:v>
                </c:pt>
                <c:pt idx="17">
                  <c:v>677759.35965908726</c:v>
                </c:pt>
                <c:pt idx="18">
                  <c:v>556451.11435799999</c:v>
                </c:pt>
                <c:pt idx="19">
                  <c:v>22476199.665309582</c:v>
                </c:pt>
                <c:pt idx="20">
                  <c:v>3548041</c:v>
                </c:pt>
                <c:pt idx="21">
                  <c:v>2432326.0989999999</c:v>
                </c:pt>
                <c:pt idx="22">
                  <c:v>462996.64077260764</c:v>
                </c:pt>
                <c:pt idx="23">
                  <c:v>454657.52658023633</c:v>
                </c:pt>
                <c:pt idx="24">
                  <c:v>1140472.5369997262</c:v>
                </c:pt>
                <c:pt idx="25">
                  <c:v>9335566.8216338865</c:v>
                </c:pt>
                <c:pt idx="26">
                  <c:v>171641.85845038004</c:v>
                </c:pt>
                <c:pt idx="27">
                  <c:v>6375089</c:v>
                </c:pt>
                <c:pt idx="28">
                  <c:v>318932.28899999999</c:v>
                </c:pt>
                <c:pt idx="29">
                  <c:v>2638888.8259999999</c:v>
                </c:pt>
                <c:pt idx="30">
                  <c:v>38224419.038687997</c:v>
                </c:pt>
                <c:pt idx="31">
                  <c:v>4117354</c:v>
                </c:pt>
                <c:pt idx="32">
                  <c:v>1442570.1605512791</c:v>
                </c:pt>
                <c:pt idx="33">
                  <c:v>18527798.598182</c:v>
                </c:pt>
                <c:pt idx="34">
                  <c:v>5885030.8900211276</c:v>
                </c:pt>
                <c:pt idx="35">
                  <c:v>921549.82982009253</c:v>
                </c:pt>
                <c:pt idx="36">
                  <c:v>2498951.4819999998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-100"/>
        <c:axId val="369379968"/>
        <c:axId val="369377664"/>
      </c:barChart>
      <c:catAx>
        <c:axId val="36936985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369371392"/>
        <c:crosses val="autoZero"/>
        <c:auto val="1"/>
        <c:lblAlgn val="ctr"/>
        <c:lblOffset val="100"/>
        <c:noMultiLvlLbl val="0"/>
      </c:catAx>
      <c:valAx>
        <c:axId val="36937139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crossAx val="369369856"/>
        <c:crosses val="autoZero"/>
        <c:crossBetween val="between"/>
        <c:majorUnit val="20000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</a:t>
                  </a:r>
                </a:p>
              </c:rich>
            </c:tx>
          </c:dispUnitsLbl>
        </c:dispUnits>
      </c:valAx>
      <c:valAx>
        <c:axId val="369377664"/>
        <c:scaling>
          <c:orientation val="minMax"/>
          <c:max val="55000000"/>
        </c:scaling>
        <c:delete val="0"/>
        <c:axPos val="r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GB"/>
                  <a:t>10</a:t>
                </a:r>
                <a:r>
                  <a:rPr lang="en-GB" sz="1000" b="1" i="0" u="none" strike="noStrike" baseline="0">
                    <a:effectLst/>
                  </a:rPr>
                  <a:t>^12</a:t>
                </a:r>
                <a:endParaRPr lang="en-GB"/>
              </a:p>
            </c:rich>
          </c:tx>
          <c:layout>
            <c:manualLayout>
              <c:xMode val="edge"/>
              <c:yMode val="edge"/>
              <c:x val="0.96392847222222222"/>
              <c:y val="1.4604166666666667E-3"/>
            </c:manualLayout>
          </c:layout>
          <c:overlay val="0"/>
        </c:title>
        <c:numFmt formatCode="###\ ###\ ###\ ###\ ##0" sourceLinked="1"/>
        <c:majorTickMark val="out"/>
        <c:minorTickMark val="none"/>
        <c:tickLblPos val="nextTo"/>
        <c:crossAx val="369379968"/>
        <c:crosses val="max"/>
        <c:crossBetween val="between"/>
        <c:majorUnit val="5000000"/>
        <c:dispUnits>
          <c:builtInUnit val="millions"/>
        </c:dispUnits>
      </c:valAx>
      <c:catAx>
        <c:axId val="369379968"/>
        <c:scaling>
          <c:orientation val="minMax"/>
        </c:scaling>
        <c:delete val="1"/>
        <c:axPos val="b"/>
        <c:majorTickMark val="out"/>
        <c:minorTickMark val="none"/>
        <c:tickLblPos val="nextTo"/>
        <c:crossAx val="369377664"/>
        <c:crosses val="autoZero"/>
        <c:auto val="1"/>
        <c:lblAlgn val="ctr"/>
        <c:lblOffset val="100"/>
        <c:noMultiLvlLbl val="0"/>
      </c:cat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8.4651851851851853E-2"/>
          <c:w val="0.95648094305169062"/>
          <c:h val="0.620568209876543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'Summary - 2014'!$P$6</c:f>
              <c:strCache>
                <c:ptCount val="1"/>
                <c:pt idx="0">
                  <c:v>Cross-jurisdictional claims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- 2014'!$P$7:$P$43</c:f>
              <c:numCache>
                <c:formatCode>###\ ###\ ###\ ###\ ##0</c:formatCode>
                <c:ptCount val="37"/>
                <c:pt idx="0">
                  <c:v>114311.106</c:v>
                </c:pt>
                <c:pt idx="1">
                  <c:v>9972.7556341300005</c:v>
                </c:pt>
                <c:pt idx="2">
                  <c:v>25397.831999999999</c:v>
                </c:pt>
                <c:pt idx="3">
                  <c:v>683549.87778595195</c:v>
                </c:pt>
                <c:pt idx="4">
                  <c:v>36192.726000000002</c:v>
                </c:pt>
                <c:pt idx="5">
                  <c:v>302419.68599999999</c:v>
                </c:pt>
                <c:pt idx="6">
                  <c:v>18663.767</c:v>
                </c:pt>
                <c:pt idx="7">
                  <c:v>989428.89114483877</c:v>
                </c:pt>
                <c:pt idx="8">
                  <c:v>248223.02099725697</c:v>
                </c:pt>
                <c:pt idx="9">
                  <c:v>234707</c:v>
                </c:pt>
                <c:pt idx="10">
                  <c:v>307131.85168362013</c:v>
                </c:pt>
                <c:pt idx="11">
                  <c:v>77468.153454999992</c:v>
                </c:pt>
                <c:pt idx="12">
                  <c:v>180527.80915957136</c:v>
                </c:pt>
                <c:pt idx="13">
                  <c:v>826030.51599999995</c:v>
                </c:pt>
                <c:pt idx="14">
                  <c:v>122208.913840013</c:v>
                </c:pt>
                <c:pt idx="15">
                  <c:v>80184.949819720001</c:v>
                </c:pt>
                <c:pt idx="16">
                  <c:v>100947</c:v>
                </c:pt>
                <c:pt idx="17">
                  <c:v>135564.57643515564</c:v>
                </c:pt>
                <c:pt idx="18">
                  <c:v>49210.553</c:v>
                </c:pt>
                <c:pt idx="19">
                  <c:v>1279307.3064632809</c:v>
                </c:pt>
                <c:pt idx="20">
                  <c:v>490600</c:v>
                </c:pt>
                <c:pt idx="21">
                  <c:v>119438</c:v>
                </c:pt>
                <c:pt idx="22">
                  <c:v>95622</c:v>
                </c:pt>
                <c:pt idx="23">
                  <c:v>13262.781000000001</c:v>
                </c:pt>
                <c:pt idx="24">
                  <c:v>63439.694000000003</c:v>
                </c:pt>
                <c:pt idx="25">
                  <c:v>88229.554468031987</c:v>
                </c:pt>
                <c:pt idx="26">
                  <c:v>7823.8541504639998</c:v>
                </c:pt>
                <c:pt idx="27">
                  <c:v>395086</c:v>
                </c:pt>
                <c:pt idx="28">
                  <c:v>61637.913999999997</c:v>
                </c:pt>
                <c:pt idx="29">
                  <c:v>232257</c:v>
                </c:pt>
                <c:pt idx="30">
                  <c:v>472797.53481427196</c:v>
                </c:pt>
                <c:pt idx="31">
                  <c:v>826402.72537700005</c:v>
                </c:pt>
                <c:pt idx="32">
                  <c:v>94979.490553187614</c:v>
                </c:pt>
                <c:pt idx="33">
                  <c:v>426598.77270700003</c:v>
                </c:pt>
                <c:pt idx="34">
                  <c:v>454535.04676393297</c:v>
                </c:pt>
                <c:pt idx="35">
                  <c:v>21851.497684555565</c:v>
                </c:pt>
                <c:pt idx="36">
                  <c:v>438079.739</c:v>
                </c:pt>
              </c:numCache>
            </c:numRef>
          </c:val>
        </c:ser>
        <c:ser>
          <c:idx val="1"/>
          <c:order val="1"/>
          <c:tx>
            <c:strRef>
              <c:f>'Summary - 2014'!$Q$6</c:f>
              <c:strCache>
                <c:ptCount val="1"/>
                <c:pt idx="0">
                  <c:v>Cross-jurisdictional liabilities</c:v>
                </c:pt>
              </c:strCache>
            </c:strRef>
          </c:tx>
          <c:invertIfNegative val="0"/>
          <c:dLbls>
            <c:delete val="1"/>
          </c:dLbls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- 2014'!$Q$7:$Q$43</c:f>
              <c:numCache>
                <c:formatCode>###\ ###\ ###\ ###\ ##0</c:formatCode>
                <c:ptCount val="37"/>
                <c:pt idx="0">
                  <c:v>118152.25199999999</c:v>
                </c:pt>
                <c:pt idx="1">
                  <c:v>23035.956635710008</c:v>
                </c:pt>
                <c:pt idx="2">
                  <c:v>1108.8174541600001</c:v>
                </c:pt>
                <c:pt idx="3">
                  <c:v>551933.54056353879</c:v>
                </c:pt>
                <c:pt idx="4">
                  <c:v>20251.245999999999</c:v>
                </c:pt>
                <c:pt idx="5">
                  <c:v>328071.43599999999</c:v>
                </c:pt>
                <c:pt idx="6">
                  <c:v>29414.771600938981</c:v>
                </c:pt>
                <c:pt idx="7">
                  <c:v>756816.44128925609</c:v>
                </c:pt>
                <c:pt idx="8">
                  <c:v>117760.073</c:v>
                </c:pt>
                <c:pt idx="9">
                  <c:v>128949</c:v>
                </c:pt>
                <c:pt idx="10">
                  <c:v>294990.37203666777</c:v>
                </c:pt>
                <c:pt idx="11">
                  <c:v>43193.170284755543</c:v>
                </c:pt>
                <c:pt idx="12">
                  <c:v>306374.27322913974</c:v>
                </c:pt>
                <c:pt idx="13">
                  <c:v>559185.51900000009</c:v>
                </c:pt>
                <c:pt idx="14">
                  <c:v>89258.891973768899</c:v>
                </c:pt>
                <c:pt idx="15">
                  <c:v>27604.445866120001</c:v>
                </c:pt>
                <c:pt idx="16">
                  <c:v>93704.210900000005</c:v>
                </c:pt>
                <c:pt idx="17">
                  <c:v>81016.097208232313</c:v>
                </c:pt>
                <c:pt idx="18">
                  <c:v>9808.8349999999991</c:v>
                </c:pt>
                <c:pt idx="19">
                  <c:v>1254072.97649431</c:v>
                </c:pt>
                <c:pt idx="20">
                  <c:v>436487</c:v>
                </c:pt>
                <c:pt idx="21">
                  <c:v>132198</c:v>
                </c:pt>
                <c:pt idx="22">
                  <c:v>92846</c:v>
                </c:pt>
                <c:pt idx="23">
                  <c:v>17206.276000000002</c:v>
                </c:pt>
                <c:pt idx="24">
                  <c:v>36223.531000000003</c:v>
                </c:pt>
                <c:pt idx="25">
                  <c:v>143896.52068233598</c:v>
                </c:pt>
                <c:pt idx="26">
                  <c:v>8326.458421404961</c:v>
                </c:pt>
                <c:pt idx="27">
                  <c:v>393005</c:v>
                </c:pt>
                <c:pt idx="28">
                  <c:v>43142.391000000003</c:v>
                </c:pt>
                <c:pt idx="29">
                  <c:v>77817</c:v>
                </c:pt>
                <c:pt idx="30">
                  <c:v>349138.52856806398</c:v>
                </c:pt>
                <c:pt idx="31">
                  <c:v>724955.59763649991</c:v>
                </c:pt>
                <c:pt idx="32">
                  <c:v>110347.86992241097</c:v>
                </c:pt>
                <c:pt idx="33">
                  <c:v>336572.96614099998</c:v>
                </c:pt>
                <c:pt idx="34">
                  <c:v>439149.98786487599</c:v>
                </c:pt>
                <c:pt idx="35">
                  <c:v>90822.814539038794</c:v>
                </c:pt>
                <c:pt idx="36">
                  <c:v>642944.19363373693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9417600"/>
        <c:axId val="369419392"/>
      </c:barChart>
      <c:catAx>
        <c:axId val="36941760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500000"/>
          <a:lstStyle/>
          <a:p>
            <a:pPr>
              <a:defRPr sz="800"/>
            </a:pPr>
            <a:endParaRPr lang="en-US"/>
          </a:p>
        </c:txPr>
        <c:crossAx val="369419392"/>
        <c:crosses val="autoZero"/>
        <c:auto val="1"/>
        <c:lblAlgn val="ctr"/>
        <c:lblOffset val="100"/>
        <c:noMultiLvlLbl val="0"/>
      </c:catAx>
      <c:valAx>
        <c:axId val="36941939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369417600"/>
        <c:crosses val="autoZero"/>
        <c:crossBetween val="between"/>
        <c:dispUnits>
          <c:builtInUnit val="thousands"/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897292553169372E-2"/>
          <c:y val="0.11698993055555555"/>
          <c:w val="0.92067205128205132"/>
          <c:h val="0.6316688271604937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'Summary - 2014'!$K$6</c:f>
              <c:strCache>
                <c:ptCount val="1"/>
                <c:pt idx="0">
                  <c:v>Assets under custody</c:v>
                </c:pt>
              </c:strCache>
            </c:strRef>
          </c:tx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- 2014'!$K$7:$K$43</c:f>
              <c:numCache>
                <c:formatCode>###\ ###\ ###\ ###\ ##0</c:formatCode>
                <c:ptCount val="37"/>
                <c:pt idx="0">
                  <c:v>231073.83600000001</c:v>
                </c:pt>
                <c:pt idx="1">
                  <c:v>171273.12899999999</c:v>
                </c:pt>
                <c:pt idx="2">
                  <c:v>152462.486</c:v>
                </c:pt>
                <c:pt idx="3">
                  <c:v>167985.1557426785</c:v>
                </c:pt>
                <c:pt idx="4">
                  <c:v>75880.649000000005</c:v>
                </c:pt>
                <c:pt idx="5">
                  <c:v>635711.60699999996</c:v>
                </c:pt>
                <c:pt idx="6">
                  <c:v>41593</c:v>
                </c:pt>
                <c:pt idx="7">
                  <c:v>4554000</c:v>
                </c:pt>
                <c:pt idx="8">
                  <c:v>74300</c:v>
                </c:pt>
                <c:pt idx="9">
                  <c:v>76320</c:v>
                </c:pt>
                <c:pt idx="10">
                  <c:v>2353000</c:v>
                </c:pt>
                <c:pt idx="11">
                  <c:v>289553.54747082002</c:v>
                </c:pt>
                <c:pt idx="12">
                  <c:v>87010.597130039998</c:v>
                </c:pt>
                <c:pt idx="13">
                  <c:v>2203825.6888694898</c:v>
                </c:pt>
                <c:pt idx="14">
                  <c:v>155607.16640700001</c:v>
                </c:pt>
                <c:pt idx="15">
                  <c:v>634806.98799107003</c:v>
                </c:pt>
                <c:pt idx="16">
                  <c:v>190871</c:v>
                </c:pt>
                <c:pt idx="17">
                  <c:v>169594.37858700001</c:v>
                </c:pt>
                <c:pt idx="18">
                  <c:v>130600</c:v>
                </c:pt>
                <c:pt idx="19">
                  <c:v>5246025.8654036</c:v>
                </c:pt>
                <c:pt idx="20">
                  <c:v>163305</c:v>
                </c:pt>
                <c:pt idx="21">
                  <c:v>444164.58199999999</c:v>
                </c:pt>
                <c:pt idx="22">
                  <c:v>223867.77491767</c:v>
                </c:pt>
                <c:pt idx="23">
                  <c:v>97896.360588489988</c:v>
                </c:pt>
                <c:pt idx="24">
                  <c:v>225641.50297392998</c:v>
                </c:pt>
                <c:pt idx="25">
                  <c:v>13348.311716831999</c:v>
                </c:pt>
                <c:pt idx="26">
                  <c:v>0</c:v>
                </c:pt>
                <c:pt idx="27">
                  <c:v>614800</c:v>
                </c:pt>
                <c:pt idx="28">
                  <c:v>69023.760999999999</c:v>
                </c:pt>
                <c:pt idx="29">
                  <c:v>211</c:v>
                </c:pt>
                <c:pt idx="30">
                  <c:v>141047.63122387198</c:v>
                </c:pt>
                <c:pt idx="31">
                  <c:v>943103.88758771843</c:v>
                </c:pt>
                <c:pt idx="32">
                  <c:v>720004.25761700002</c:v>
                </c:pt>
                <c:pt idx="33">
                  <c:v>3854000</c:v>
                </c:pt>
                <c:pt idx="34">
                  <c:v>752318.69072925544</c:v>
                </c:pt>
                <c:pt idx="35">
                  <c:v>147543.07519630971</c:v>
                </c:pt>
                <c:pt idx="36">
                  <c:v>265045.34399999998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6"/>
        <c:overlap val="-100"/>
        <c:axId val="369918336"/>
        <c:axId val="369919872"/>
      </c:barChart>
      <c:barChart>
        <c:barDir val="col"/>
        <c:grouping val="clustered"/>
        <c:varyColors val="0"/>
        <c:ser>
          <c:idx val="0"/>
          <c:order val="1"/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- 2014'!$R$7:$R$43</c:f>
              <c:numCache>
                <c:formatCode>General</c:formatCode>
                <c:ptCount val="37"/>
              </c:numCache>
            </c:numRef>
          </c:val>
        </c:ser>
        <c:ser>
          <c:idx val="2"/>
          <c:order val="2"/>
          <c:tx>
            <c:v>Underwriting activity (RHS)</c:v>
          </c:tx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- 2014'!$L$7:$L$43</c:f>
              <c:numCache>
                <c:formatCode>###\ ###\ ###\ ###\ ##0</c:formatCode>
                <c:ptCount val="37"/>
                <c:pt idx="0">
                  <c:v>5587.6459563333301</c:v>
                </c:pt>
                <c:pt idx="1">
                  <c:v>2662.3090538869606</c:v>
                </c:pt>
                <c:pt idx="2">
                  <c:v>0</c:v>
                </c:pt>
                <c:pt idx="3">
                  <c:v>333114.11598432652</c:v>
                </c:pt>
                <c:pt idx="4">
                  <c:v>9380.5370000000003</c:v>
                </c:pt>
                <c:pt idx="5">
                  <c:v>31434.799999999999</c:v>
                </c:pt>
                <c:pt idx="6">
                  <c:v>815.36741572000005</c:v>
                </c:pt>
                <c:pt idx="7">
                  <c:v>161588.16982538512</c:v>
                </c:pt>
                <c:pt idx="8">
                  <c:v>36346.345378214486</c:v>
                </c:pt>
                <c:pt idx="9">
                  <c:v>35873</c:v>
                </c:pt>
                <c:pt idx="10">
                  <c:v>66712.832550860723</c:v>
                </c:pt>
                <c:pt idx="11">
                  <c:v>2453.46</c:v>
                </c:pt>
                <c:pt idx="12">
                  <c:v>22099.979678252043</c:v>
                </c:pt>
                <c:pt idx="13">
                  <c:v>280100</c:v>
                </c:pt>
                <c:pt idx="14">
                  <c:v>16480.800913209401</c:v>
                </c:pt>
                <c:pt idx="15">
                  <c:v>20478.41</c:v>
                </c:pt>
                <c:pt idx="16">
                  <c:v>0</c:v>
                </c:pt>
                <c:pt idx="17">
                  <c:v>540.15660532796903</c:v>
                </c:pt>
                <c:pt idx="18">
                  <c:v>4577.3613329999998</c:v>
                </c:pt>
                <c:pt idx="19">
                  <c:v>354704.719722801</c:v>
                </c:pt>
                <c:pt idx="20">
                  <c:v>24869</c:v>
                </c:pt>
                <c:pt idx="21">
                  <c:v>26707.138421</c:v>
                </c:pt>
                <c:pt idx="22">
                  <c:v>0</c:v>
                </c:pt>
                <c:pt idx="23">
                  <c:v>103.15981500000001</c:v>
                </c:pt>
                <c:pt idx="24">
                  <c:v>21907.23007754</c:v>
                </c:pt>
                <c:pt idx="25">
                  <c:v>26584.927452191998</c:v>
                </c:pt>
                <c:pt idx="26">
                  <c:v>0</c:v>
                </c:pt>
                <c:pt idx="27">
                  <c:v>53975</c:v>
                </c:pt>
                <c:pt idx="28">
                  <c:v>6886.08</c:v>
                </c:pt>
                <c:pt idx="29">
                  <c:v>109089</c:v>
                </c:pt>
                <c:pt idx="30">
                  <c:v>123200.66756361599</c:v>
                </c:pt>
                <c:pt idx="31">
                  <c:v>29593.583868631933</c:v>
                </c:pt>
                <c:pt idx="32">
                  <c:v>18181.296075473369</c:v>
                </c:pt>
                <c:pt idx="33">
                  <c:v>94506.545167597549</c:v>
                </c:pt>
                <c:pt idx="34">
                  <c:v>40209.381454924427</c:v>
                </c:pt>
                <c:pt idx="35">
                  <c:v>61.626743244739998</c:v>
                </c:pt>
                <c:pt idx="36">
                  <c:v>71933.078800000003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369928064"/>
        <c:axId val="369926144"/>
      </c:barChart>
      <c:catAx>
        <c:axId val="36991833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369919872"/>
        <c:crosses val="autoZero"/>
        <c:auto val="1"/>
        <c:lblAlgn val="ctr"/>
        <c:lblOffset val="100"/>
        <c:noMultiLvlLbl val="0"/>
      </c:catAx>
      <c:valAx>
        <c:axId val="369919872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369918336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GB"/>
                    <a:t> 10^9</a:t>
                  </a:r>
                </a:p>
              </c:rich>
            </c:tx>
          </c:dispUnitsLbl>
        </c:dispUnits>
      </c:valAx>
      <c:valAx>
        <c:axId val="369926144"/>
        <c:scaling>
          <c:orientation val="minMax"/>
          <c:max val="360000"/>
        </c:scaling>
        <c:delete val="0"/>
        <c:axPos val="r"/>
        <c:numFmt formatCode="General" sourceLinked="1"/>
        <c:majorTickMark val="out"/>
        <c:minorTickMark val="none"/>
        <c:tickLblPos val="nextTo"/>
        <c:crossAx val="369928064"/>
        <c:crosses val="max"/>
        <c:crossBetween val="between"/>
        <c:majorUnit val="60000"/>
        <c:dispUnits>
          <c:builtInUnit val="thousands"/>
        </c:dispUnits>
      </c:valAx>
      <c:catAx>
        <c:axId val="369928064"/>
        <c:scaling>
          <c:orientation val="minMax"/>
        </c:scaling>
        <c:delete val="1"/>
        <c:axPos val="b"/>
        <c:majorTickMark val="out"/>
        <c:minorTickMark val="none"/>
        <c:tickLblPos val="nextTo"/>
        <c:crossAx val="369926144"/>
        <c:crosses val="autoZero"/>
        <c:auto val="1"/>
        <c:lblAlgn val="ctr"/>
        <c:lblOffset val="100"/>
        <c:noMultiLvlLbl val="0"/>
      </c:catAx>
    </c:plotArea>
    <c:legend>
      <c:legendPos val="t"/>
      <c:legendEntry>
        <c:idx val="1"/>
        <c:delete val="1"/>
      </c:legendEntry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2982735042735037E-2"/>
          <c:y val="0.11698993055555555"/>
          <c:w val="0.95540709401709401"/>
          <c:h val="0.6329246913580246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'Summary - 2014'!$J$6</c:f>
              <c:strCache>
                <c:ptCount val="1"/>
                <c:pt idx="0">
                  <c:v>Payments activity 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'Summary - 2014'!$E$7:$E$43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'Summary - 2014'!$J$7:$J$43</c:f>
              <c:numCache>
                <c:formatCode>###\ ###\ ###\ ###\ ##0</c:formatCode>
                <c:ptCount val="37"/>
                <c:pt idx="0">
                  <c:v>3882985.9695718423</c:v>
                </c:pt>
                <c:pt idx="1">
                  <c:v>721235.90693060542</c:v>
                </c:pt>
                <c:pt idx="2">
                  <c:v>619887.96846939519</c:v>
                </c:pt>
                <c:pt idx="3">
                  <c:v>40504697.082223125</c:v>
                </c:pt>
                <c:pt idx="4">
                  <c:v>2074094.7699363541</c:v>
                </c:pt>
                <c:pt idx="5">
                  <c:v>4796775.3059920901</c:v>
                </c:pt>
                <c:pt idx="6">
                  <c:v>944913.67129792448</c:v>
                </c:pt>
                <c:pt idx="7">
                  <c:v>43413380.658571333</c:v>
                </c:pt>
                <c:pt idx="8">
                  <c:v>32434761.032316126</c:v>
                </c:pt>
                <c:pt idx="9">
                  <c:v>28472574.364551596</c:v>
                </c:pt>
                <c:pt idx="10">
                  <c:v>22645227.82505478</c:v>
                </c:pt>
                <c:pt idx="11">
                  <c:v>8889415.5088401809</c:v>
                </c:pt>
                <c:pt idx="12">
                  <c:v>327370.87031271099</c:v>
                </c:pt>
                <c:pt idx="13">
                  <c:v>135495731.89599133</c:v>
                </c:pt>
                <c:pt idx="14">
                  <c:v>7448913.8067882126</c:v>
                </c:pt>
                <c:pt idx="15">
                  <c:v>4687097.4666340249</c:v>
                </c:pt>
                <c:pt idx="16">
                  <c:v>6934584.4781486355</c:v>
                </c:pt>
                <c:pt idx="17">
                  <c:v>10942048.072190708</c:v>
                </c:pt>
                <c:pt idx="18">
                  <c:v>3159307.1994127496</c:v>
                </c:pt>
                <c:pt idx="19">
                  <c:v>73504639.543566108</c:v>
                </c:pt>
                <c:pt idx="20">
                  <c:v>20698585.693227395</c:v>
                </c:pt>
                <c:pt idx="21">
                  <c:v>10162252.837274386</c:v>
                </c:pt>
                <c:pt idx="22">
                  <c:v>5024857.4784810441</c:v>
                </c:pt>
                <c:pt idx="23">
                  <c:v>2688873.8371085892</c:v>
                </c:pt>
                <c:pt idx="24">
                  <c:v>4461538.7374079162</c:v>
                </c:pt>
                <c:pt idx="25">
                  <c:v>36204728.355816267</c:v>
                </c:pt>
                <c:pt idx="26">
                  <c:v>407980.9492353088</c:v>
                </c:pt>
                <c:pt idx="27">
                  <c:v>29011786.181709673</c:v>
                </c:pt>
                <c:pt idx="28">
                  <c:v>710414.27243280178</c:v>
                </c:pt>
                <c:pt idx="29">
                  <c:v>13311174.541917887</c:v>
                </c:pt>
                <c:pt idx="30">
                  <c:v>50421669.428470828</c:v>
                </c:pt>
                <c:pt idx="31">
                  <c:v>13052266.064437566</c:v>
                </c:pt>
                <c:pt idx="32">
                  <c:v>5680476.1497458341</c:v>
                </c:pt>
                <c:pt idx="33">
                  <c:v>27650483.686409906</c:v>
                </c:pt>
                <c:pt idx="34">
                  <c:v>26296209.58568304</c:v>
                </c:pt>
                <c:pt idx="35">
                  <c:v>3133545.6692732708</c:v>
                </c:pt>
                <c:pt idx="36">
                  <c:v>9690155.4469751362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0"/>
        <c:overlap val="-100"/>
        <c:axId val="369638016"/>
        <c:axId val="369643904"/>
      </c:barChart>
      <c:catAx>
        <c:axId val="36963801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1620000"/>
          <a:lstStyle/>
          <a:p>
            <a:pPr>
              <a:defRPr sz="800"/>
            </a:pPr>
            <a:endParaRPr lang="en-US"/>
          </a:p>
        </c:txPr>
        <c:crossAx val="369643904"/>
        <c:crosses val="autoZero"/>
        <c:auto val="1"/>
        <c:lblAlgn val="ctr"/>
        <c:lblOffset val="100"/>
        <c:noMultiLvlLbl val="0"/>
      </c:catAx>
      <c:valAx>
        <c:axId val="369643904"/>
        <c:scaling>
          <c:orientation val="minMax"/>
          <c:max val="150000000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0" sourceLinked="0"/>
        <c:majorTickMark val="out"/>
        <c:minorTickMark val="none"/>
        <c:tickLblPos val="nextTo"/>
        <c:crossAx val="369638016"/>
        <c:crosses val="autoZero"/>
        <c:crossBetween val="between"/>
        <c:majorUnit val="15000000"/>
        <c:minorUnit val="50000"/>
        <c:dispUnits>
          <c:builtInUnit val="millions"/>
          <c:dispUnitsLbl>
            <c:layout>
              <c:manualLayout>
                <c:xMode val="edge"/>
                <c:yMode val="edge"/>
                <c:x val="2.0670746527777777E-2"/>
                <c:y val="3.5260416666666665E-3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^12</a:t>
                  </a:r>
                  <a:endParaRPr lang="en-US"/>
                </a:p>
              </c:rich>
            </c:tx>
          </c:dispUnitsLbl>
        </c:dispUnits>
      </c:valAx>
    </c:plotArea>
    <c:legend>
      <c:legendPos val="t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strRef>
          <c:f>'Charts - 2yr'!$B$2:$F$2</c:f>
          <c:strCache>
            <c:ptCount val="1"/>
            <c:pt idx="0">
              <c:v>Underwriting activity</c:v>
            </c:pt>
          </c:strCache>
        </c:strRef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4.2751965811965817E-2"/>
          <c:y val="9.8091071428571444E-2"/>
          <c:w val="0.9380279487179487"/>
          <c:h val="0.79611777777777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'Charts - 2yr'!$Y$9</c:f>
              <c:strCache>
                <c:ptCount val="1"/>
                <c:pt idx="0">
                  <c:v>2013</c:v>
                </c:pt>
              </c:strCache>
            </c:strRef>
          </c:tx>
          <c:spPr>
            <a:solidFill>
              <a:srgbClr val="F79646">
                <a:lumMod val="50000"/>
              </a:srgbClr>
            </a:solidFill>
          </c:spPr>
          <c:invertIfNegative val="0"/>
          <c:dLbls>
            <c:delete val="1"/>
          </c:dLbls>
          <c:cat>
            <c:strRef>
              <c:f>'Charts - 2yr'!$X$10:$X$46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'Charts - 2yr'!$Y$10:$Y$46</c:f>
              <c:numCache>
                <c:formatCode>0</c:formatCode>
                <c:ptCount val="37"/>
                <c:pt idx="0">
                  <c:v>4056.2559999999999</c:v>
                </c:pt>
                <c:pt idx="1">
                  <c:v>12437.833000000001</c:v>
                </c:pt>
                <c:pt idx="2">
                  <c:v>0</c:v>
                </c:pt>
                <c:pt idx="3">
                  <c:v>312619.73914791254</c:v>
                </c:pt>
                <c:pt idx="4">
                  <c:v>6952.9765024438457</c:v>
                </c:pt>
                <c:pt idx="5">
                  <c:v>26197.778999999999</c:v>
                </c:pt>
                <c:pt idx="6">
                  <c:v>0</c:v>
                </c:pt>
                <c:pt idx="7">
                  <c:v>189229.79399329654</c:v>
                </c:pt>
                <c:pt idx="8">
                  <c:v>48513</c:v>
                </c:pt>
                <c:pt idx="9">
                  <c:v>25429</c:v>
                </c:pt>
                <c:pt idx="10">
                  <c:v>65360</c:v>
                </c:pt>
                <c:pt idx="11">
                  <c:v>1120</c:v>
                </c:pt>
                <c:pt idx="12">
                  <c:v>99419.983293695972</c:v>
                </c:pt>
                <c:pt idx="13">
                  <c:v>319512</c:v>
                </c:pt>
                <c:pt idx="14">
                  <c:v>16806.189463863346</c:v>
                </c:pt>
                <c:pt idx="15">
                  <c:v>17146.5</c:v>
                </c:pt>
                <c:pt idx="16">
                  <c:v>69</c:v>
                </c:pt>
                <c:pt idx="17">
                  <c:v>35.924755225863002</c:v>
                </c:pt>
                <c:pt idx="18">
                  <c:v>8473</c:v>
                </c:pt>
                <c:pt idx="19">
                  <c:v>255861.42739821313</c:v>
                </c:pt>
                <c:pt idx="20">
                  <c:v>26770</c:v>
                </c:pt>
                <c:pt idx="21">
                  <c:v>7.3956210000000002</c:v>
                </c:pt>
                <c:pt idx="22">
                  <c:v>0</c:v>
                </c:pt>
                <c:pt idx="23">
                  <c:v>140</c:v>
                </c:pt>
                <c:pt idx="24">
                  <c:v>21621.31</c:v>
                </c:pt>
                <c:pt idx="25">
                  <c:v>12180.64051596</c:v>
                </c:pt>
                <c:pt idx="26">
                  <c:v>0</c:v>
                </c:pt>
                <c:pt idx="27">
                  <c:v>37233</c:v>
                </c:pt>
                <c:pt idx="28">
                  <c:v>9309.33</c:v>
                </c:pt>
                <c:pt idx="29">
                  <c:v>13995</c:v>
                </c:pt>
                <c:pt idx="30">
                  <c:v>115440.806024376</c:v>
                </c:pt>
                <c:pt idx="31">
                  <c:v>27431.685517187758</c:v>
                </c:pt>
                <c:pt idx="32">
                  <c:v>20149.226632975548</c:v>
                </c:pt>
                <c:pt idx="33">
                  <c:v>77258.167379000006</c:v>
                </c:pt>
                <c:pt idx="34">
                  <c:v>88362.700267519001</c:v>
                </c:pt>
                <c:pt idx="35">
                  <c:v>35.086633974587997</c:v>
                </c:pt>
                <c:pt idx="36">
                  <c:v>62564.722000000002</c:v>
                </c:pt>
              </c:numCache>
            </c:numRef>
          </c:val>
        </c:ser>
        <c:ser>
          <c:idx val="1"/>
          <c:order val="1"/>
          <c:tx>
            <c:strRef>
              <c:f>'Charts - 2yr'!$Z$9</c:f>
              <c:strCache>
                <c:ptCount val="1"/>
                <c:pt idx="0">
                  <c:v>2014</c:v>
                </c:pt>
              </c:strCache>
            </c:strRef>
          </c:tx>
          <c:invertIfNegative val="0"/>
          <c:dLbls>
            <c:delete val="1"/>
          </c:dLbls>
          <c:cat>
            <c:strRef>
              <c:f>'Charts - 2yr'!$X$10:$X$46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'Charts - 2yr'!$Z$10:$Z$46</c:f>
              <c:numCache>
                <c:formatCode>0</c:formatCode>
                <c:ptCount val="37"/>
                <c:pt idx="0">
                  <c:v>5587.6459563333301</c:v>
                </c:pt>
                <c:pt idx="1">
                  <c:v>2662.3090538869606</c:v>
                </c:pt>
                <c:pt idx="2">
                  <c:v>0</c:v>
                </c:pt>
                <c:pt idx="3">
                  <c:v>333114.11598432652</c:v>
                </c:pt>
                <c:pt idx="4">
                  <c:v>9380.5370000000003</c:v>
                </c:pt>
                <c:pt idx="5">
                  <c:v>31434.799999999999</c:v>
                </c:pt>
                <c:pt idx="6">
                  <c:v>815.36741572000005</c:v>
                </c:pt>
                <c:pt idx="7">
                  <c:v>161588.16982538512</c:v>
                </c:pt>
                <c:pt idx="8">
                  <c:v>36346.345378214486</c:v>
                </c:pt>
                <c:pt idx="9">
                  <c:v>35873</c:v>
                </c:pt>
                <c:pt idx="10">
                  <c:v>66712.832550860723</c:v>
                </c:pt>
                <c:pt idx="11">
                  <c:v>2453.46</c:v>
                </c:pt>
                <c:pt idx="12">
                  <c:v>22099.979678252043</c:v>
                </c:pt>
                <c:pt idx="13">
                  <c:v>280100</c:v>
                </c:pt>
                <c:pt idx="14">
                  <c:v>16480.800913209401</c:v>
                </c:pt>
                <c:pt idx="15">
                  <c:v>20478.41</c:v>
                </c:pt>
                <c:pt idx="16">
                  <c:v>0</c:v>
                </c:pt>
                <c:pt idx="17">
                  <c:v>540.15660532796903</c:v>
                </c:pt>
                <c:pt idx="18">
                  <c:v>4577.3613329999998</c:v>
                </c:pt>
                <c:pt idx="19">
                  <c:v>354704.719722801</c:v>
                </c:pt>
                <c:pt idx="20">
                  <c:v>24869</c:v>
                </c:pt>
                <c:pt idx="21">
                  <c:v>26707.138421</c:v>
                </c:pt>
                <c:pt idx="22">
                  <c:v>0</c:v>
                </c:pt>
                <c:pt idx="23">
                  <c:v>103.15981500000001</c:v>
                </c:pt>
                <c:pt idx="24">
                  <c:v>21907.23007754</c:v>
                </c:pt>
                <c:pt idx="25">
                  <c:v>26584.927452191998</c:v>
                </c:pt>
                <c:pt idx="26">
                  <c:v>0</c:v>
                </c:pt>
                <c:pt idx="27">
                  <c:v>53975</c:v>
                </c:pt>
                <c:pt idx="28">
                  <c:v>6886.08</c:v>
                </c:pt>
                <c:pt idx="29">
                  <c:v>109089</c:v>
                </c:pt>
                <c:pt idx="30">
                  <c:v>123200.66756361599</c:v>
                </c:pt>
                <c:pt idx="31">
                  <c:v>29593.583868631933</c:v>
                </c:pt>
                <c:pt idx="32">
                  <c:v>18181.296075473369</c:v>
                </c:pt>
                <c:pt idx="33">
                  <c:v>94506.545167597549</c:v>
                </c:pt>
                <c:pt idx="34">
                  <c:v>40209.381454924427</c:v>
                </c:pt>
                <c:pt idx="35">
                  <c:v>61.626743244739998</c:v>
                </c:pt>
                <c:pt idx="36">
                  <c:v>71933.078800000003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368917120"/>
        <c:axId val="368947584"/>
      </c:barChart>
      <c:catAx>
        <c:axId val="368917120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majorTickMark val="out"/>
        <c:minorTickMark val="none"/>
        <c:tickLblPos val="low"/>
        <c:txPr>
          <a:bodyPr rot="-2700000" vert="horz"/>
          <a:lstStyle/>
          <a:p>
            <a:pPr>
              <a:defRPr sz="750" b="0"/>
            </a:pPr>
            <a:endParaRPr lang="en-US"/>
          </a:p>
        </c:txPr>
        <c:crossAx val="368947584"/>
        <c:crosses val="autoZero"/>
        <c:auto val="1"/>
        <c:lblAlgn val="ctr"/>
        <c:lblOffset val="100"/>
        <c:noMultiLvlLbl val="0"/>
      </c:catAx>
      <c:valAx>
        <c:axId val="368947584"/>
        <c:scaling>
          <c:orientation val="minMax"/>
        </c:scaling>
        <c:delete val="0"/>
        <c:axPos val="l"/>
        <c:majorGridlines>
          <c:spPr>
            <a:ln>
              <a:prstDash val="sysDash"/>
            </a:ln>
          </c:spPr>
        </c:majorGridlines>
        <c:numFmt formatCode="###\ ###\ ###\ ###\ ##0" sourceLinked="0"/>
        <c:majorTickMark val="out"/>
        <c:minorTickMark val="none"/>
        <c:tickLblPos val="nextTo"/>
        <c:crossAx val="368917120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5.5490598290598291E-2"/>
                <c:y val="5.0627579365079362E-2"/>
              </c:manualLayout>
            </c:layout>
            <c:tx>
              <c:rich>
                <a:bodyPr rot="0" vert="horz"/>
                <a:lstStyle/>
                <a:p>
                  <a:pPr>
                    <a:defRPr/>
                  </a:pPr>
                  <a:r>
                    <a:rPr lang="en-US"/>
                    <a:t>10</a:t>
                  </a:r>
                  <a:r>
                    <a:rPr lang="en-US">
                      <a:latin typeface="Calibri"/>
                    </a:rPr>
                    <a:t>^9 EUR</a:t>
                  </a:r>
                  <a:endParaRPr lang="en-US"/>
                </a:p>
              </c:rich>
            </c:tx>
          </c:dispUnitsLbl>
        </c:dispUnits>
      </c:valAx>
    </c:plotArea>
    <c:legend>
      <c:legendPos val="r"/>
      <c:layout>
        <c:manualLayout>
          <c:xMode val="edge"/>
          <c:yMode val="edge"/>
          <c:x val="0.74875726495726491"/>
          <c:y val="1.9505185185185181E-2"/>
          <c:w val="0.23934102564102563"/>
          <c:h val="0.11464783950617284"/>
        </c:manualLayout>
      </c:layout>
      <c:overlay val="0"/>
    </c:legend>
    <c:plotVisOnly val="0"/>
    <c:dispBlanksAs val="gap"/>
    <c:showDLblsOverMax val="0"/>
  </c:chart>
  <c:spPr>
    <a:noFill/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5457866783302494E-2"/>
          <c:y val="7.8980753968253964E-2"/>
          <c:w val="0.928083790206224"/>
          <c:h val="0.700528373015873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'Charts - 2yr'!$AA$9</c:f>
              <c:strCache>
                <c:ptCount val="1"/>
                <c:pt idx="0">
                  <c:v>YoY change</c:v>
                </c:pt>
              </c:strCache>
            </c:strRef>
          </c:tx>
          <c:invertIfNegative val="0"/>
          <c:cat>
            <c:strRef>
              <c:f>'Charts - 2yr'!$X$10:$X$46</c:f>
              <c:strCache>
                <c:ptCount val="37"/>
                <c:pt idx="0">
                  <c:v>ABN Amro</c:v>
                </c:pt>
                <c:pt idx="1">
                  <c:v>Banca Monte dei Paschi di Siena</c:v>
                </c:pt>
                <c:pt idx="2">
                  <c:v>Banque Postale</c:v>
                </c:pt>
                <c:pt idx="3">
                  <c:v>Barclays</c:v>
                </c:pt>
                <c:pt idx="4">
                  <c:v>Bayern LB</c:v>
                </c:pt>
                <c:pt idx="5">
                  <c:v>BBVA</c:v>
                </c:pt>
                <c:pt idx="6">
                  <c:v>BFA</c:v>
                </c:pt>
                <c:pt idx="7">
                  <c:v>BNP Paribas</c:v>
                </c:pt>
                <c:pt idx="8">
                  <c:v>BPCE</c:v>
                </c:pt>
                <c:pt idx="9">
                  <c:v>Commerzbank</c:v>
                </c:pt>
                <c:pt idx="10">
                  <c:v>Credit Agricole</c:v>
                </c:pt>
                <c:pt idx="11">
                  <c:v>Credit Mutuel</c:v>
                </c:pt>
                <c:pt idx="12">
                  <c:v>Danske Bank</c:v>
                </c:pt>
                <c:pt idx="13">
                  <c:v>Deutsche Bank</c:v>
                </c:pt>
                <c:pt idx="14">
                  <c:v>DNB</c:v>
                </c:pt>
                <c:pt idx="15">
                  <c:v>DZ Bank</c:v>
                </c:pt>
                <c:pt idx="16">
                  <c:v>Erste Group</c:v>
                </c:pt>
                <c:pt idx="17">
                  <c:v>Handelsbanken</c:v>
                </c:pt>
                <c:pt idx="18">
                  <c:v>Helaba</c:v>
                </c:pt>
                <c:pt idx="19">
                  <c:v>HSBC</c:v>
                </c:pt>
                <c:pt idx="20">
                  <c:v>ING</c:v>
                </c:pt>
                <c:pt idx="21">
                  <c:v>Intesa Sanpaolo</c:v>
                </c:pt>
                <c:pt idx="22">
                  <c:v>KBC</c:v>
                </c:pt>
                <c:pt idx="23">
                  <c:v>La Caixa</c:v>
                </c:pt>
                <c:pt idx="24">
                  <c:v>LBBW</c:v>
                </c:pt>
                <c:pt idx="25">
                  <c:v>Lloyds</c:v>
                </c:pt>
                <c:pt idx="26">
                  <c:v>Nationwide</c:v>
                </c:pt>
                <c:pt idx="27">
                  <c:v>Nordea</c:v>
                </c:pt>
                <c:pt idx="28">
                  <c:v>NordLB</c:v>
                </c:pt>
                <c:pt idx="29">
                  <c:v>Rabobank</c:v>
                </c:pt>
                <c:pt idx="30">
                  <c:v>RBS</c:v>
                </c:pt>
                <c:pt idx="31">
                  <c:v>Santander</c:v>
                </c:pt>
                <c:pt idx="32">
                  <c:v>SEB</c:v>
                </c:pt>
                <c:pt idx="33">
                  <c:v>Societe Generale</c:v>
                </c:pt>
                <c:pt idx="34">
                  <c:v>Standard Chartered</c:v>
                </c:pt>
                <c:pt idx="35">
                  <c:v>Swedbank</c:v>
                </c:pt>
                <c:pt idx="36">
                  <c:v>Unicredit</c:v>
                </c:pt>
              </c:strCache>
            </c:strRef>
          </c:cat>
          <c:val>
            <c:numRef>
              <c:f>'Charts - 2yr'!$AA$10:$AA$46</c:f>
              <c:numCache>
                <c:formatCode>0.0%</c:formatCode>
                <c:ptCount val="37"/>
                <c:pt idx="0">
                  <c:v>0.37753779749930239</c:v>
                </c:pt>
                <c:pt idx="1">
                  <c:v>-0.78595073161965101</c:v>
                </c:pt>
                <c:pt idx="2">
                  <c:v>0</c:v>
                </c:pt>
                <c:pt idx="3">
                  <c:v>6.5556886754093657E-2</c:v>
                </c:pt>
                <c:pt idx="4">
                  <c:v>0.34913975283864551</c:v>
                </c:pt>
                <c:pt idx="5">
                  <c:v>0.19990324370627</c:v>
                </c:pt>
                <c:pt idx="6">
                  <c:v>0</c:v>
                </c:pt>
                <c:pt idx="7">
                  <c:v>-0.1460743764741963</c:v>
                </c:pt>
                <c:pt idx="8">
                  <c:v>-0.25079163568085905</c:v>
                </c:pt>
                <c:pt idx="9">
                  <c:v>0.41071217900821888</c:v>
                </c:pt>
                <c:pt idx="10">
                  <c:v>2.0698172442789486E-2</c:v>
                </c:pt>
                <c:pt idx="11">
                  <c:v>1.1905892857142857</c:v>
                </c:pt>
                <c:pt idx="12">
                  <c:v>-0.77771088923876974</c:v>
                </c:pt>
                <c:pt idx="13">
                  <c:v>-0.12335060967976164</c:v>
                </c:pt>
                <c:pt idx="14">
                  <c:v>-1.9361233035816605E-2</c:v>
                </c:pt>
                <c:pt idx="15">
                  <c:v>0.19432012364039308</c:v>
                </c:pt>
                <c:pt idx="16">
                  <c:v>-1</c:v>
                </c:pt>
                <c:pt idx="17">
                  <c:v>14.035776915721298</c:v>
                </c:pt>
                <c:pt idx="18">
                  <c:v>-0.45977088008969669</c:v>
                </c:pt>
                <c:pt idx="19">
                  <c:v>0.38631572304469275</c:v>
                </c:pt>
                <c:pt idx="20">
                  <c:v>-7.1012327231976147E-2</c:v>
                </c:pt>
                <c:pt idx="21">
                  <c:v>3610.2097173448988</c:v>
                </c:pt>
                <c:pt idx="22">
                  <c:v>0</c:v>
                </c:pt>
                <c:pt idx="23">
                  <c:v>-0.26314417857142847</c:v>
                </c:pt>
                <c:pt idx="24">
                  <c:v>1.3223994177041121E-2</c:v>
                </c:pt>
                <c:pt idx="25">
                  <c:v>1.1825557873872401</c:v>
                </c:pt>
                <c:pt idx="26">
                  <c:v>0</c:v>
                </c:pt>
                <c:pt idx="27">
                  <c:v>0.44965487605081522</c:v>
                </c:pt>
                <c:pt idx="28">
                  <c:v>-0.26030337306766438</c:v>
                </c:pt>
                <c:pt idx="29">
                  <c:v>6.7948553054662382</c:v>
                </c:pt>
                <c:pt idx="30">
                  <c:v>6.7219398464711366E-2</c:v>
                </c:pt>
                <c:pt idx="31">
                  <c:v>7.8810263047438545E-2</c:v>
                </c:pt>
                <c:pt idx="32">
                  <c:v>-9.7667796057320122E-2</c:v>
                </c:pt>
                <c:pt idx="33">
                  <c:v>0.22325636723925091</c:v>
                </c:pt>
                <c:pt idx="34">
                  <c:v>-0.54495073902008317</c:v>
                </c:pt>
                <c:pt idx="35">
                  <c:v>0.75641651146627686</c:v>
                </c:pt>
                <c:pt idx="36">
                  <c:v>0.14973864664498948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8966656"/>
        <c:axId val="369840896"/>
      </c:barChart>
      <c:catAx>
        <c:axId val="368966656"/>
        <c:scaling>
          <c:orientation val="minMax"/>
        </c:scaling>
        <c:delete val="0"/>
        <c:axPos val="b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n-US"/>
          </a:p>
        </c:txPr>
        <c:crossAx val="369840896"/>
        <c:crosses val="autoZero"/>
        <c:auto val="1"/>
        <c:lblAlgn val="ctr"/>
        <c:lblOffset val="100"/>
        <c:noMultiLvlLbl val="0"/>
      </c:catAx>
      <c:valAx>
        <c:axId val="369840896"/>
        <c:scaling>
          <c:orientation val="minMax"/>
          <c:max val="4"/>
          <c:min val="-2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YoY Change</a:t>
                </a:r>
              </a:p>
            </c:rich>
          </c:tx>
          <c:layout>
            <c:manualLayout>
              <c:xMode val="edge"/>
              <c:yMode val="edge"/>
              <c:x val="7.2726495726495727E-2"/>
              <c:y val="2.268392857142857E-2"/>
            </c:manualLayout>
          </c:layout>
          <c:overlay val="0"/>
        </c:title>
        <c:numFmt formatCode="0%" sourceLinked="0"/>
        <c:majorTickMark val="out"/>
        <c:minorTickMark val="none"/>
        <c:tickLblPos val="nextTo"/>
        <c:crossAx val="368966656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printSettings>
    <c:headerFooter/>
    <c:pageMargins b="1" l="0.75" r="0.75" t="1" header="0.5" footer="0.5"/>
    <c:pageSetup paperSize="9" orientation="portrait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</xdr:colOff>
      <xdr:row>2</xdr:row>
      <xdr:rowOff>7</xdr:rowOff>
    </xdr:from>
    <xdr:to>
      <xdr:col>4</xdr:col>
      <xdr:colOff>2461263</xdr:colOff>
      <xdr:row>5</xdr:row>
      <xdr:rowOff>128912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3" y="504832"/>
          <a:ext cx="2461260" cy="9099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101599" y="558801"/>
    <xdr:ext cx="11700000" cy="324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93134" y="4514852"/>
    <xdr:ext cx="11700000" cy="3240000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absoluteAnchor>
    <xdr:pos x="86782" y="18257307"/>
    <xdr:ext cx="11700000" cy="3240000"/>
    <xdr:graphicFrame macro="">
      <xdr:nvGraphicFramePr>
        <xdr:cNvPr id="4" name="Chart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absoluteAnchor>
  <xdr:absoluteAnchor>
    <xdr:pos x="85725" y="22728769"/>
    <xdr:ext cx="11700000" cy="3240000"/>
    <xdr:graphicFrame macro="">
      <xdr:nvGraphicFramePr>
        <xdr:cNvPr id="5" name="Chart 4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absoluteAnchor>
  <xdr:absoluteAnchor>
    <xdr:pos x="100542" y="9037107"/>
    <xdr:ext cx="11700000" cy="3240000"/>
    <xdr:graphicFrame macro="">
      <xdr:nvGraphicFramePr>
        <xdr:cNvPr id="6" name="Chart 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absoluteAnchor>
  <xdr:absoluteAnchor>
    <xdr:pos x="137583" y="12890500"/>
    <xdr:ext cx="11700000" cy="3240000"/>
    <xdr:graphicFrame macro="">
      <xdr:nvGraphicFramePr>
        <xdr:cNvPr id="7" name="Chart 6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0.01339</cdr:x>
      <cdr:y>0.00327</cdr:y>
    </cdr:from>
    <cdr:to>
      <cdr:x>0.09154</cdr:x>
      <cdr:y>0.28549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56632" y="10582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0.94345</cdr:x>
      <cdr:y>0.01045</cdr:y>
    </cdr:from>
    <cdr:to>
      <cdr:x>0.99411</cdr:x>
      <cdr:y>0.08885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038389" y="33859"/>
          <a:ext cx="592722" cy="2540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GB" sz="1000" b="1"/>
            <a:t>10^9</a:t>
          </a:r>
          <a:endParaRPr lang="en-GB" sz="1100" b="1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56775" y="616322"/>
    <xdr:ext cx="11700000" cy="54000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33617" y="5983942"/>
    <xdr:ext cx="11700000" cy="5040000"/>
    <xdr:graphicFrame macro="">
      <xdr:nvGraphicFramePr>
        <xdr:cNvPr id="8" name="Chart 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  <xdr:twoCellAnchor>
    <xdr:from>
      <xdr:col>6</xdr:col>
      <xdr:colOff>67237</xdr:colOff>
      <xdr:row>1</xdr:row>
      <xdr:rowOff>145676</xdr:rowOff>
    </xdr:from>
    <xdr:to>
      <xdr:col>6</xdr:col>
      <xdr:colOff>571500</xdr:colOff>
      <xdr:row>1</xdr:row>
      <xdr:rowOff>145676</xdr:rowOff>
    </xdr:to>
    <xdr:cxnSp macro="">
      <xdr:nvCxnSpPr>
        <xdr:cNvPr id="4" name="Straight Arrow Connector 3"/>
        <xdr:cNvCxnSpPr/>
      </xdr:nvCxnSpPr>
      <xdr:spPr>
        <a:xfrm flipH="1">
          <a:off x="3182472" y="347382"/>
          <a:ext cx="504263" cy="0"/>
        </a:xfrm>
        <a:prstGeom prst="straightConnector1">
          <a:avLst/>
        </a:prstGeom>
        <a:ln w="19050"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Oversight/Joint%20projects/SIIs%20project/G-SIIs/EBA%20Disclosure/2013/End-2013%20G-SII%20templa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Oversight/Joint%20projects/SIIs%20project/G-SIIs/EBA%20Disclosure/2013/End-2013%20G-SII%20data%20disclosure%20tool_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Parameters"/>
    </sheetNames>
    <sheetDataSet>
      <sheetData sheetId="0"/>
      <sheetData sheetId="1">
        <row r="15">
          <cell r="E15" t="str">
            <v>&lt;select&gt;</v>
          </cell>
        </row>
        <row r="16">
          <cell r="E16">
            <v>41547</v>
          </cell>
        </row>
        <row r="17">
          <cell r="E17">
            <v>41578</v>
          </cell>
        </row>
        <row r="18">
          <cell r="E18">
            <v>41608</v>
          </cell>
        </row>
        <row r="19">
          <cell r="E19">
            <v>41639</v>
          </cell>
        </row>
        <row r="20">
          <cell r="E20">
            <v>41670</v>
          </cell>
        </row>
        <row r="21">
          <cell r="E21">
            <v>41698</v>
          </cell>
        </row>
        <row r="22">
          <cell r="E22">
            <v>41729</v>
          </cell>
        </row>
        <row r="24">
          <cell r="E24" t="str">
            <v>&lt;select&gt;</v>
          </cell>
        </row>
        <row r="25">
          <cell r="E25" t="str">
            <v>AU</v>
          </cell>
        </row>
        <row r="26">
          <cell r="E26" t="str">
            <v>BE</v>
          </cell>
        </row>
        <row r="27">
          <cell r="E27" t="str">
            <v>BR</v>
          </cell>
        </row>
        <row r="28">
          <cell r="E28" t="str">
            <v>CA</v>
          </cell>
        </row>
        <row r="29">
          <cell r="E29" t="str">
            <v>CH</v>
          </cell>
        </row>
        <row r="30">
          <cell r="E30" t="str">
            <v>CN</v>
          </cell>
        </row>
        <row r="31">
          <cell r="E31" t="str">
            <v>DE</v>
          </cell>
        </row>
        <row r="32">
          <cell r="E32" t="str">
            <v>DK</v>
          </cell>
        </row>
        <row r="33">
          <cell r="E33" t="str">
            <v>ES</v>
          </cell>
        </row>
        <row r="34">
          <cell r="E34" t="str">
            <v>FR</v>
          </cell>
        </row>
        <row r="35">
          <cell r="E35" t="str">
            <v>GB</v>
          </cell>
        </row>
        <row r="36">
          <cell r="E36" t="str">
            <v>IN</v>
          </cell>
        </row>
        <row r="37">
          <cell r="E37" t="str">
            <v>IT</v>
          </cell>
        </row>
        <row r="38">
          <cell r="E38" t="str">
            <v>JP</v>
          </cell>
        </row>
        <row r="39">
          <cell r="E39" t="str">
            <v>KR</v>
          </cell>
        </row>
        <row r="40">
          <cell r="E40" t="str">
            <v>NL</v>
          </cell>
        </row>
        <row r="41">
          <cell r="E41" t="str">
            <v>NO</v>
          </cell>
        </row>
        <row r="42">
          <cell r="E42" t="str">
            <v>RU</v>
          </cell>
        </row>
        <row r="43">
          <cell r="E43" t="str">
            <v>SE</v>
          </cell>
        </row>
        <row r="44">
          <cell r="E44" t="str">
            <v>SG</v>
          </cell>
        </row>
        <row r="45">
          <cell r="E45" t="str">
            <v>US</v>
          </cell>
        </row>
        <row r="48">
          <cell r="E48" t="str">
            <v>&lt;select&gt;</v>
          </cell>
        </row>
        <row r="49">
          <cell r="E49" t="str">
            <v>AUD</v>
          </cell>
        </row>
        <row r="50">
          <cell r="E50" t="str">
            <v>BRL</v>
          </cell>
        </row>
        <row r="51">
          <cell r="E51" t="str">
            <v>CAD</v>
          </cell>
        </row>
        <row r="52">
          <cell r="E52" t="str">
            <v>CHF</v>
          </cell>
        </row>
        <row r="53">
          <cell r="E53" t="str">
            <v>CNY</v>
          </cell>
        </row>
        <row r="54">
          <cell r="E54" t="str">
            <v>DKK</v>
          </cell>
        </row>
        <row r="55">
          <cell r="E55" t="str">
            <v>EUR</v>
          </cell>
        </row>
        <row r="56">
          <cell r="E56" t="str">
            <v>GBP</v>
          </cell>
        </row>
        <row r="57">
          <cell r="E57" t="str">
            <v>HKD</v>
          </cell>
        </row>
        <row r="58">
          <cell r="E58" t="str">
            <v>INR</v>
          </cell>
        </row>
        <row r="59">
          <cell r="E59" t="str">
            <v>JPY</v>
          </cell>
        </row>
        <row r="60">
          <cell r="E60" t="str">
            <v>KRW</v>
          </cell>
        </row>
        <row r="61">
          <cell r="E61" t="str">
            <v>MXN</v>
          </cell>
        </row>
        <row r="62">
          <cell r="E62" t="str">
            <v>NOK</v>
          </cell>
        </row>
        <row r="63">
          <cell r="E63" t="str">
            <v>NZD</v>
          </cell>
        </row>
        <row r="64">
          <cell r="E64" t="str">
            <v>RUB</v>
          </cell>
        </row>
        <row r="65">
          <cell r="E65" t="str">
            <v>SEK</v>
          </cell>
        </row>
        <row r="66">
          <cell r="E66" t="str">
            <v>SGD</v>
          </cell>
        </row>
        <row r="67">
          <cell r="E67" t="str">
            <v>USD</v>
          </cell>
        </row>
        <row r="69">
          <cell r="E69" t="str">
            <v>&lt;select&gt;</v>
          </cell>
        </row>
        <row r="70">
          <cell r="E70">
            <v>1</v>
          </cell>
        </row>
        <row r="71">
          <cell r="E71">
            <v>1000</v>
          </cell>
        </row>
        <row r="72">
          <cell r="E72">
            <v>1000000</v>
          </cell>
        </row>
        <row r="74">
          <cell r="E74" t="str">
            <v>&lt;select&gt;</v>
          </cell>
        </row>
        <row r="75">
          <cell r="E75" t="str">
            <v>IFRS</v>
          </cell>
        </row>
        <row r="76">
          <cell r="E76" t="str">
            <v>US GAAP</v>
          </cell>
        </row>
        <row r="77">
          <cell r="E77" t="str">
            <v>Other national accounting standard</v>
          </cell>
        </row>
        <row r="80">
          <cell r="E80" t="str">
            <v>Confirmed zero</v>
          </cell>
        </row>
        <row r="81">
          <cell r="E81" t="str">
            <v>Estimated value</v>
          </cell>
        </row>
        <row r="82">
          <cell r="E82" t="str">
            <v>Confirmed by NSA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nk Template Tool - 2013"/>
      <sheetName val="Summary - 2013"/>
      <sheetName val="Charts"/>
      <sheetName val="Data"/>
      <sheetName val="aux - 2013 blank template"/>
      <sheetName val="aux - sample"/>
      <sheetName val="Sheet1"/>
    </sheetNames>
    <sheetDataSet>
      <sheetData sheetId="0"/>
      <sheetData sheetId="1"/>
      <sheetData sheetId="2"/>
      <sheetData sheetId="3"/>
      <sheetData sheetId="4">
        <row r="2">
          <cell r="B2" t="str">
            <v>General Bank Data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</row>
        <row r="17">
          <cell r="B17" t="str">
            <v>Size Indicator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J20">
            <v>0</v>
          </cell>
        </row>
        <row r="21">
          <cell r="J21">
            <v>0</v>
          </cell>
        </row>
        <row r="22">
          <cell r="J22">
            <v>0</v>
          </cell>
        </row>
        <row r="23">
          <cell r="J23">
            <v>0</v>
          </cell>
        </row>
        <row r="24">
          <cell r="J24">
            <v>0</v>
          </cell>
        </row>
        <row r="26">
          <cell r="J26">
            <v>0</v>
          </cell>
        </row>
        <row r="27">
          <cell r="J27">
            <v>0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40">
          <cell r="J40">
            <v>0</v>
          </cell>
        </row>
        <row r="41">
          <cell r="J41">
            <v>0</v>
          </cell>
        </row>
        <row r="54">
          <cell r="B54" t="str">
            <v>Interconnectedness Indicators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7">
          <cell r="J57">
            <v>0</v>
          </cell>
        </row>
        <row r="58">
          <cell r="J58">
            <v>0</v>
          </cell>
        </row>
        <row r="59">
          <cell r="J59">
            <v>0</v>
          </cell>
        </row>
        <row r="61">
          <cell r="J61">
            <v>0</v>
          </cell>
        </row>
        <row r="62">
          <cell r="J62">
            <v>0</v>
          </cell>
        </row>
        <row r="63">
          <cell r="J63">
            <v>0</v>
          </cell>
        </row>
        <row r="64">
          <cell r="J64">
            <v>0</v>
          </cell>
        </row>
        <row r="65">
          <cell r="J65">
            <v>0</v>
          </cell>
        </row>
        <row r="66">
          <cell r="J66">
            <v>0</v>
          </cell>
        </row>
        <row r="67">
          <cell r="J67">
            <v>0</v>
          </cell>
        </row>
        <row r="69">
          <cell r="J69">
            <v>0</v>
          </cell>
        </row>
        <row r="70">
          <cell r="J70">
            <v>0</v>
          </cell>
        </row>
        <row r="75">
          <cell r="J75">
            <v>0</v>
          </cell>
        </row>
        <row r="76">
          <cell r="J76">
            <v>0</v>
          </cell>
        </row>
        <row r="77">
          <cell r="J77">
            <v>0</v>
          </cell>
        </row>
        <row r="78">
          <cell r="J78">
            <v>0</v>
          </cell>
        </row>
        <row r="80">
          <cell r="J80">
            <v>0</v>
          </cell>
        </row>
        <row r="81">
          <cell r="J81">
            <v>0</v>
          </cell>
        </row>
        <row r="88">
          <cell r="J88">
            <v>0</v>
          </cell>
        </row>
        <row r="89">
          <cell r="J89">
            <v>0</v>
          </cell>
        </row>
        <row r="90">
          <cell r="J90">
            <v>0</v>
          </cell>
        </row>
        <row r="91">
          <cell r="J91">
            <v>0</v>
          </cell>
        </row>
        <row r="92">
          <cell r="J92">
            <v>0</v>
          </cell>
        </row>
        <row r="93">
          <cell r="J93">
            <v>0</v>
          </cell>
        </row>
        <row r="94">
          <cell r="J94">
            <v>0</v>
          </cell>
        </row>
        <row r="96">
          <cell r="J96">
            <v>0</v>
          </cell>
        </row>
        <row r="99">
          <cell r="B99" t="str">
            <v>Substitutability/Financial Institution Infrastructure Indicators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</row>
        <row r="103">
          <cell r="J103">
            <v>0</v>
          </cell>
        </row>
        <row r="104">
          <cell r="J104">
            <v>0</v>
          </cell>
        </row>
        <row r="105">
          <cell r="J105">
            <v>0</v>
          </cell>
        </row>
        <row r="106">
          <cell r="J106">
            <v>0</v>
          </cell>
        </row>
        <row r="107">
          <cell r="J107">
            <v>0</v>
          </cell>
        </row>
        <row r="108">
          <cell r="J108">
            <v>0</v>
          </cell>
        </row>
        <row r="109">
          <cell r="J109">
            <v>0</v>
          </cell>
        </row>
        <row r="110">
          <cell r="J110">
            <v>0</v>
          </cell>
        </row>
        <row r="111">
          <cell r="J111">
            <v>0</v>
          </cell>
        </row>
        <row r="112">
          <cell r="J112">
            <v>0</v>
          </cell>
        </row>
        <row r="113">
          <cell r="J113">
            <v>0</v>
          </cell>
        </row>
        <row r="114">
          <cell r="J114">
            <v>0</v>
          </cell>
        </row>
        <row r="122">
          <cell r="J122">
            <v>0</v>
          </cell>
        </row>
        <row r="125">
          <cell r="J125">
            <v>0</v>
          </cell>
        </row>
        <row r="126">
          <cell r="J126">
            <v>0</v>
          </cell>
        </row>
        <row r="129">
          <cell r="B129" t="str">
            <v>Complexity indicators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</row>
        <row r="132">
          <cell r="J132">
            <v>0</v>
          </cell>
        </row>
        <row r="133">
          <cell r="J133">
            <v>0</v>
          </cell>
        </row>
        <row r="137">
          <cell r="J137">
            <v>0</v>
          </cell>
        </row>
        <row r="138">
          <cell r="J138">
            <v>0</v>
          </cell>
        </row>
        <row r="142">
          <cell r="J142">
            <v>0</v>
          </cell>
        </row>
        <row r="146">
          <cell r="J146">
            <v>0</v>
          </cell>
        </row>
        <row r="148">
          <cell r="B148" t="str">
            <v>Cross-Jurisdictional Activity Indicators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</row>
        <row r="151">
          <cell r="J151">
            <v>0</v>
          </cell>
        </row>
        <row r="157">
          <cell r="J157">
            <v>0</v>
          </cell>
        </row>
        <row r="158">
          <cell r="J158">
            <v>0</v>
          </cell>
        </row>
        <row r="159">
          <cell r="J159">
            <v>0</v>
          </cell>
        </row>
        <row r="164">
          <cell r="B164" t="str">
            <v>Additional Indicators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</row>
        <row r="167">
          <cell r="J167">
            <v>0</v>
          </cell>
        </row>
        <row r="168">
          <cell r="J168">
            <v>0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J172">
            <v>0</v>
          </cell>
        </row>
        <row r="173">
          <cell r="J173">
            <v>0</v>
          </cell>
        </row>
        <row r="174">
          <cell r="J174">
            <v>0</v>
          </cell>
        </row>
        <row r="175">
          <cell r="J175">
            <v>0</v>
          </cell>
        </row>
        <row r="176">
          <cell r="J176">
            <v>0</v>
          </cell>
        </row>
        <row r="177">
          <cell r="J177">
            <v>0</v>
          </cell>
        </row>
        <row r="178">
          <cell r="J178" t="str">
            <v>Remarks</v>
          </cell>
        </row>
        <row r="179">
          <cell r="J179">
            <v>0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EBA theme 2">
    <a:dk1>
      <a:srgbClr val="000000"/>
    </a:dk1>
    <a:lt1>
      <a:sysClr val="window" lastClr="FFFFFF"/>
    </a:lt1>
    <a:dk2>
      <a:srgbClr val="2F5773"/>
    </a:dk2>
    <a:lt2>
      <a:srgbClr val="E98E31"/>
    </a:lt2>
    <a:accent1>
      <a:srgbClr val="2F5773"/>
    </a:accent1>
    <a:accent2>
      <a:srgbClr val="EA933B"/>
    </a:accent2>
    <a:accent3>
      <a:srgbClr val="D44D2A"/>
    </a:accent3>
    <a:accent4>
      <a:srgbClr val="49AB74"/>
    </a:accent4>
    <a:accent5>
      <a:srgbClr val="52666E"/>
    </a:accent5>
    <a:accent6>
      <a:srgbClr val="163A5A"/>
    </a:accent6>
    <a:hlink>
      <a:srgbClr val="2F5773"/>
    </a:hlink>
    <a:folHlink>
      <a:srgbClr val="800080"/>
    </a:folHlink>
  </a:clrScheme>
  <a:fontScheme name="Office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tint val="100000"/>
              <a:shade val="100000"/>
              <a:satMod val="130000"/>
            </a:schemeClr>
          </a:gs>
          <a:gs pos="100000">
            <a:schemeClr val="phClr">
              <a:tint val="50000"/>
              <a:shade val="100000"/>
              <a:satMod val="350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utsche-bank.de/ir/en/content/reports_2014.htm" TargetMode="External"/><Relationship Id="rId13" Type="http://schemas.openxmlformats.org/officeDocument/2006/relationships/hyperlink" Target="https://www.danskebank.com/" TargetMode="External"/><Relationship Id="rId18" Type="http://schemas.openxmlformats.org/officeDocument/2006/relationships/hyperlink" Target="http://www.ing.com/ING-in-Society/Sustainability/Stakeholder-engagement/Global-systemically-important-bank-indicators.htm" TargetMode="External"/><Relationship Id="rId26" Type="http://schemas.openxmlformats.org/officeDocument/2006/relationships/hyperlink" Target="https://invest.bnpparibas.com/en/conferences-and-publications" TargetMode="External"/><Relationship Id="rId3" Type="http://schemas.openxmlformats.org/officeDocument/2006/relationships/hyperlink" Target="http://www.group.intesasanpaolo.com/scriptIsir0/si09/governance/ita_assessment_methodology.jsp" TargetMode="External"/><Relationship Id="rId21" Type="http://schemas.openxmlformats.org/officeDocument/2006/relationships/hyperlink" Target="http://www.hsbc.com/investor-relations/financial-and-regulatory-reports" TargetMode="External"/><Relationship Id="rId34" Type="http://schemas.openxmlformats.org/officeDocument/2006/relationships/hyperlink" Target="http://www.bfatenedoradeacciones.com/Portal/Home/cruce/0,0,103472%24P1%3D1582,00.html" TargetMode="External"/><Relationship Id="rId7" Type="http://schemas.openxmlformats.org/officeDocument/2006/relationships/hyperlink" Target="https://www.commerzbank.de/media/aktionaere/fremdkapitalgeber/Detailed_G-SIB_Data_Disclosure_End_2014.pdf" TargetMode="External"/><Relationship Id="rId12" Type="http://schemas.openxmlformats.org/officeDocument/2006/relationships/hyperlink" Target="https://www.nordlb.com/fileadmin/redaktion_en/branchen/investorrelations/geschaeftsberichte/2014/NORDLB_Systemic_Importance_Announcement_31-Dec-2014.pdf" TargetMode="External"/><Relationship Id="rId17" Type="http://schemas.openxmlformats.org/officeDocument/2006/relationships/hyperlink" Target="https://www.abnamro.com/en/images/010_About_ABN_AMRO/040_Reports_and_reviews/Files/2014_Annual_Report.pdf" TargetMode="External"/><Relationship Id="rId25" Type="http://schemas.openxmlformats.org/officeDocument/2006/relationships/hyperlink" Target="http://www.societegenerale.com/sites/default/files/documents/Pilier%20III/2015/SOCIETE_GENERALE_FR-MPG_End-2014G-SIB%20template.pdf" TargetMode="External"/><Relationship Id="rId33" Type="http://schemas.openxmlformats.org/officeDocument/2006/relationships/hyperlink" Target="http://shareholdersandinvestors.bbva.com/TLBB/fbinir/mult/BBVAGSIBsdisclosureDecember_2014v_tcm927-518162.pdf" TargetMode="External"/><Relationship Id="rId2" Type="http://schemas.openxmlformats.org/officeDocument/2006/relationships/hyperlink" Target="https://www.dnb.no/en/about-us/investor-relations/capital-adequacy-framework.html?la=EN&amp;site=DNB_NO" TargetMode="External"/><Relationship Id="rId16" Type="http://schemas.openxmlformats.org/officeDocument/2006/relationships/hyperlink" Target="https://www.labanquepostale.fr/groupe/Investisseur/information_reglementee/publications-reglementees.html" TargetMode="External"/><Relationship Id="rId20" Type="http://schemas.openxmlformats.org/officeDocument/2006/relationships/hyperlink" Target="http://www.barclays.com/content/dam/barclayspublic/docs/InvestorRelations/IRNewsPresentations/2015News/Barclays_G-SII_external_disclosure_Dec2014.pdf" TargetMode="External"/><Relationship Id="rId29" Type="http://schemas.openxmlformats.org/officeDocument/2006/relationships/hyperlink" Target="http://sebgroup.com/investor-relations" TargetMode="External"/><Relationship Id="rId1" Type="http://schemas.openxmlformats.org/officeDocument/2006/relationships/hyperlink" Target="https://www.kbc.com/" TargetMode="External"/><Relationship Id="rId6" Type="http://schemas.openxmlformats.org/officeDocument/2006/relationships/hyperlink" Target="http://files.shareholder.com/downloads/STANCHAR/21942380x0x824957/6E8EA210-E46B-495F-8BB2-B439F545D7BF/Standard_Chartered_PLC_2014_G-SII_disclosure.pdf" TargetMode="External"/><Relationship Id="rId11" Type="http://schemas.openxmlformats.org/officeDocument/2006/relationships/hyperlink" Target="http://www.lbbw.de/media/investor_relations/pdf_investorrelations/2015/LBBW_Datenerhebung_zur_Ermittlung_der_global_systemrelevanten_Institute_2014.pdf" TargetMode="External"/><Relationship Id="rId24" Type="http://schemas.openxmlformats.org/officeDocument/2006/relationships/hyperlink" Target="http://investors.rbs.com/results-centre/archived-group-results/2014.aspx" TargetMode="External"/><Relationship Id="rId32" Type="http://schemas.openxmlformats.org/officeDocument/2006/relationships/hyperlink" Target="http://www.santander.com/csgs/Satellite/CFWCSancomQP01/es_ES/Corporativo/Relacion-con-Inversores/Noticias-Significativas.html" TargetMode="External"/><Relationship Id="rId5" Type="http://schemas.openxmlformats.org/officeDocument/2006/relationships/hyperlink" Target="https://www.unicreditgroup.eu/content/dam/unicreditgroup/documents/en/investors/financial-reports/2014/GSIBs_Disclosure_Dec-31-2014-ENG.pdf" TargetMode="External"/><Relationship Id="rId15" Type="http://schemas.openxmlformats.org/officeDocument/2006/relationships/hyperlink" Target="https://www.creditmutuel.fr/groupecm/fr/publications/rapports-annuels.html" TargetMode="External"/><Relationship Id="rId23" Type="http://schemas.openxmlformats.org/officeDocument/2006/relationships/hyperlink" Target="http://www.nationwide.co.uk/about/corporate-information/results-and-accounts" TargetMode="External"/><Relationship Id="rId28" Type="http://schemas.openxmlformats.org/officeDocument/2006/relationships/hyperlink" Target="http://www.credit-agricole.com/Investisseur-et-actionnaire/Information-financiere/Pilier-3-et-autres-publications-prudentielles" TargetMode="External"/><Relationship Id="rId36" Type="http://schemas.openxmlformats.org/officeDocument/2006/relationships/printerSettings" Target="../printerSettings/printerSettings6.bin"/><Relationship Id="rId10" Type="http://schemas.openxmlformats.org/officeDocument/2006/relationships/hyperlink" Target="http://buba.helaba.de/" TargetMode="External"/><Relationship Id="rId19" Type="http://schemas.openxmlformats.org/officeDocument/2006/relationships/hyperlink" Target="https://www.rabobank.com/en/images/global-systemically-important-banks.pdf" TargetMode="External"/><Relationship Id="rId31" Type="http://schemas.openxmlformats.org/officeDocument/2006/relationships/hyperlink" Target="https://nordea.com/GSIB" TargetMode="External"/><Relationship Id="rId4" Type="http://schemas.openxmlformats.org/officeDocument/2006/relationships/hyperlink" Target="http://b.mps.it/go/gsibs14" TargetMode="External"/><Relationship Id="rId9" Type="http://schemas.openxmlformats.org/officeDocument/2006/relationships/hyperlink" Target="https://www.dzbank.com/content/dam/dzbank_com/en/home/profile/investor_relations/pdf_dokumente/Berichte2014/Global_Sifis_2014_englisch.pdf" TargetMode="External"/><Relationship Id="rId14" Type="http://schemas.openxmlformats.org/officeDocument/2006/relationships/hyperlink" Target="http://www.bpce.fr/Investisseur/Information-reglementee/Publications-reglementaires" TargetMode="External"/><Relationship Id="rId22" Type="http://schemas.openxmlformats.org/officeDocument/2006/relationships/hyperlink" Target="http://www.lloydsbankinggroup.com/investors/financial-performance/lloyds-banking-group/" TargetMode="External"/><Relationship Id="rId27" Type="http://schemas.openxmlformats.org/officeDocument/2006/relationships/hyperlink" Target="https://www.handelsbanken.se/ir" TargetMode="External"/><Relationship Id="rId30" Type="http://schemas.openxmlformats.org/officeDocument/2006/relationships/hyperlink" Target="https://www.swedbank.com/investor-relations/risk-and-capital-adequacy/risk-report/index.htm" TargetMode="External"/><Relationship Id="rId35" Type="http://schemas.openxmlformats.org/officeDocument/2006/relationships/hyperlink" Target="http://www.criteria.com/informacionparainversores/indicadoresderelevanciasistemicaglobal_es.htm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</sheetPr>
  <dimension ref="A1:Z150"/>
  <sheetViews>
    <sheetView showGridLines="0" tabSelected="1" view="pageBreakPreview" zoomScale="87" zoomScaleNormal="85" zoomScaleSheetLayoutView="87" workbookViewId="0">
      <selection activeCell="C4" sqref="C4"/>
    </sheetView>
  </sheetViews>
  <sheetFormatPr defaultColWidth="0" defaultRowHeight="0" customHeight="1" zeroHeight="1"/>
  <cols>
    <col min="1" max="1" width="3.85546875" style="9" customWidth="1"/>
    <col min="2" max="2" width="5.7109375" style="7" customWidth="1"/>
    <col min="3" max="3" width="50.7109375" style="7" customWidth="1"/>
    <col min="4" max="4" width="10.7109375" style="7" customWidth="1"/>
    <col min="5" max="5" width="25.7109375" style="7" customWidth="1"/>
    <col min="6" max="6" width="8.5703125" style="7" customWidth="1"/>
    <col min="7" max="7" width="50.85546875" style="7" customWidth="1"/>
    <col min="8" max="8" width="11.28515625" style="94" customWidth="1"/>
    <col min="9" max="9" width="7" style="8" customWidth="1"/>
    <col min="10" max="10" width="4.140625" style="9" customWidth="1"/>
    <col min="11" max="26" width="0" style="9" hidden="1" customWidth="1"/>
    <col min="27" max="16384" width="11.42578125" style="9" hidden="1"/>
  </cols>
  <sheetData>
    <row r="1" spans="1:10" ht="13.5" thickBot="1">
      <c r="A1" s="15"/>
      <c r="B1" s="200"/>
      <c r="C1" s="4"/>
      <c r="D1" s="4"/>
      <c r="E1" s="4"/>
      <c r="F1" s="4"/>
      <c r="G1" s="391" t="str">
        <f>VLOOKUP(F2,'aux - sample'!$A:$B,2,0)</f>
        <v>NL_ABN</v>
      </c>
      <c r="H1" s="134"/>
      <c r="I1" s="3"/>
      <c r="J1" s="15"/>
    </row>
    <row r="2" spans="1:10" ht="26.25" customHeight="1" thickBot="1">
      <c r="A2" s="15"/>
      <c r="B2" s="200"/>
      <c r="C2" s="4"/>
      <c r="D2" s="9"/>
      <c r="E2" s="219" t="s">
        <v>513</v>
      </c>
      <c r="F2" s="419" t="s">
        <v>444</v>
      </c>
      <c r="G2" s="420"/>
      <c r="H2" s="420"/>
      <c r="I2" s="421"/>
      <c r="J2" s="15"/>
    </row>
    <row r="3" spans="1:10" ht="19.5" customHeight="1">
      <c r="A3" s="15"/>
      <c r="B3" s="4"/>
      <c r="C3" s="422"/>
      <c r="D3" s="422"/>
      <c r="E3" s="422"/>
      <c r="F3" s="4"/>
      <c r="G3" s="138"/>
      <c r="H3" s="134"/>
      <c r="I3" s="3"/>
      <c r="J3" s="3"/>
    </row>
    <row r="4" spans="1:10" ht="20.100000000000001" customHeight="1">
      <c r="A4" s="15"/>
      <c r="B4" s="59" t="s">
        <v>28</v>
      </c>
      <c r="C4" s="60"/>
      <c r="D4" s="60"/>
      <c r="E4" s="60"/>
      <c r="F4" s="60"/>
      <c r="G4" s="60"/>
      <c r="H4" s="92"/>
      <c r="I4" s="61"/>
      <c r="J4" s="3"/>
    </row>
    <row r="5" spans="1:10" ht="20.100000000000001" customHeight="1">
      <c r="A5" s="15"/>
      <c r="B5" s="95"/>
      <c r="C5" s="24"/>
      <c r="D5" s="24"/>
      <c r="E5" s="3"/>
      <c r="F5" s="3"/>
      <c r="G5" s="3"/>
      <c r="H5" s="22"/>
      <c r="I5" s="96"/>
      <c r="J5" s="3"/>
    </row>
    <row r="6" spans="1:10" ht="15" customHeight="1">
      <c r="A6" s="15"/>
      <c r="B6" s="95"/>
      <c r="C6" s="49" t="s">
        <v>362</v>
      </c>
      <c r="D6" s="50"/>
      <c r="E6" s="51"/>
      <c r="F6" s="48" t="s">
        <v>206</v>
      </c>
      <c r="G6" s="28" t="s">
        <v>133</v>
      </c>
      <c r="H6" s="23"/>
      <c r="I6" s="96"/>
      <c r="J6" s="3"/>
    </row>
    <row r="7" spans="1:10" ht="15" customHeight="1">
      <c r="A7" s="15"/>
      <c r="B7" s="95"/>
      <c r="C7" s="114" t="s">
        <v>252</v>
      </c>
      <c r="D7" s="115"/>
      <c r="E7" s="116"/>
      <c r="F7" s="33"/>
      <c r="G7" s="32"/>
      <c r="H7" s="23"/>
      <c r="I7" s="96"/>
      <c r="J7" s="3"/>
    </row>
    <row r="8" spans="1:10" ht="15" customHeight="1">
      <c r="A8" s="15"/>
      <c r="B8" s="95"/>
      <c r="C8" s="117" t="s">
        <v>61</v>
      </c>
      <c r="D8" s="118"/>
      <c r="E8" s="116"/>
      <c r="F8" s="267">
        <v>1001</v>
      </c>
      <c r="G8" s="371" t="str">
        <f>INDEX(Data!$I$4:$AZ$108,MATCH($F8,Data!$I$4:$I$108,0),MATCH(G$1,Data!$I$4:$AZ$4,0))</f>
        <v>NL</v>
      </c>
      <c r="H8" s="23" t="s">
        <v>59</v>
      </c>
      <c r="I8" s="96"/>
      <c r="J8" s="3"/>
    </row>
    <row r="9" spans="1:10" ht="15" customHeight="1">
      <c r="A9" s="15"/>
      <c r="B9" s="95"/>
      <c r="C9" s="117" t="s">
        <v>204</v>
      </c>
      <c r="D9" s="118"/>
      <c r="E9" s="116"/>
      <c r="F9" s="267">
        <v>1002</v>
      </c>
      <c r="G9" s="372" t="str">
        <f>INDEX(Data!$I$4:$AZ$108,MATCH($F9,Data!$I$4:$I$108,0),MATCH(G$1,Data!$I$4:$AZ$4,0))</f>
        <v>ABN AMRO</v>
      </c>
      <c r="H9" s="23" t="s">
        <v>60</v>
      </c>
      <c r="I9" s="96"/>
      <c r="J9" s="3"/>
    </row>
    <row r="10" spans="1:10" ht="15" customHeight="1">
      <c r="A10" s="15"/>
      <c r="B10" s="95"/>
      <c r="C10" s="117" t="s">
        <v>436</v>
      </c>
      <c r="D10" s="118"/>
      <c r="E10" s="116"/>
      <c r="F10" s="267">
        <v>1003</v>
      </c>
      <c r="G10" s="373">
        <f>INDEX(Data!$I$4:$AZ$108,MATCH($F10,Data!$I$4:$I$108,0),MATCH(G$1,Data!$I$4:$AZ$4,0))</f>
        <v>42004</v>
      </c>
      <c r="H10" s="23" t="s">
        <v>62</v>
      </c>
      <c r="I10" s="96"/>
      <c r="J10" s="3"/>
    </row>
    <row r="11" spans="1:10" ht="15" customHeight="1">
      <c r="A11" s="15"/>
      <c r="B11" s="95"/>
      <c r="C11" s="117" t="s">
        <v>437</v>
      </c>
      <c r="D11" s="118"/>
      <c r="E11" s="116"/>
      <c r="F11" s="267">
        <v>1004</v>
      </c>
      <c r="G11" s="374" t="str">
        <f>INDEX(Data!$I$4:$AZ$108,MATCH($F11,Data!$I$4:$I$108,0),MATCH(G$1,Data!$I$4:$AZ$4,0))</f>
        <v>EUR</v>
      </c>
      <c r="H11" s="23" t="s">
        <v>433</v>
      </c>
      <c r="I11" s="96"/>
      <c r="J11" s="3"/>
    </row>
    <row r="12" spans="1:10" ht="15" customHeight="1">
      <c r="A12" s="15"/>
      <c r="B12" s="95"/>
      <c r="C12" s="119" t="s">
        <v>438</v>
      </c>
      <c r="D12" s="120"/>
      <c r="E12" s="122"/>
      <c r="F12" s="267">
        <v>1005</v>
      </c>
      <c r="G12" s="375">
        <f>INDEX(Data!$I$4:$AZ$108,MATCH($F12,Data!$I$4:$I$108,0),MATCH(G$1,Data!$I$4:$AZ$4,0))</f>
        <v>1</v>
      </c>
      <c r="H12" s="23" t="s">
        <v>434</v>
      </c>
      <c r="I12" s="96"/>
      <c r="J12" s="3"/>
    </row>
    <row r="13" spans="1:10" ht="15" customHeight="1">
      <c r="A13" s="15"/>
      <c r="B13" s="95"/>
      <c r="C13" s="114" t="s">
        <v>159</v>
      </c>
      <c r="D13" s="115"/>
      <c r="E13" s="116"/>
      <c r="F13" s="33"/>
      <c r="G13" s="376"/>
      <c r="H13" s="23"/>
      <c r="I13" s="96"/>
      <c r="J13" s="3"/>
    </row>
    <row r="14" spans="1:10" ht="15" customHeight="1">
      <c r="A14" s="15"/>
      <c r="B14" s="95"/>
      <c r="C14" s="117" t="s">
        <v>428</v>
      </c>
      <c r="D14" s="118"/>
      <c r="E14" s="116"/>
      <c r="F14" s="171">
        <v>1007</v>
      </c>
      <c r="G14" s="377">
        <f>INDEX(Data!$I$4:$AZ$108,MATCH($F14,Data!$I$4:$I$108,0),MATCH(G$1,Data!$I$4:$AZ$4,0))</f>
        <v>1000</v>
      </c>
      <c r="H14" s="23" t="s">
        <v>63</v>
      </c>
      <c r="I14" s="96"/>
      <c r="J14" s="3"/>
    </row>
    <row r="15" spans="1:10" ht="15" customHeight="1">
      <c r="A15" s="15"/>
      <c r="B15" s="95"/>
      <c r="C15" s="119" t="s">
        <v>429</v>
      </c>
      <c r="D15" s="120"/>
      <c r="E15" s="121"/>
      <c r="F15" s="171">
        <v>1008</v>
      </c>
      <c r="G15" s="378" t="str">
        <f>INDEX(Data!$I$4:$AZ$108,MATCH($F15,Data!$I$4:$I$108,0),MATCH(G$1,Data!$I$4:$AZ$4,0))</f>
        <v>IFRS</v>
      </c>
      <c r="H15" s="23" t="s">
        <v>64</v>
      </c>
      <c r="I15" s="96"/>
      <c r="J15" s="3"/>
    </row>
    <row r="16" spans="1:10" ht="15" customHeight="1">
      <c r="A16" s="15"/>
      <c r="B16" s="95"/>
      <c r="C16" s="119" t="s">
        <v>430</v>
      </c>
      <c r="D16" s="120"/>
      <c r="E16" s="121"/>
      <c r="F16" s="171">
        <v>1009</v>
      </c>
      <c r="G16" s="379">
        <f>INDEX(Data!$I$4:$AZ$108,MATCH($F16,Data!$I$4:$I$108,0),MATCH(G$1,Data!$I$4:$AZ$4,0))</f>
        <v>42083</v>
      </c>
      <c r="H16" s="23" t="s">
        <v>65</v>
      </c>
      <c r="I16" s="96"/>
      <c r="J16" s="3"/>
    </row>
    <row r="17" spans="1:10" ht="15" customHeight="1">
      <c r="A17" s="15"/>
      <c r="B17" s="95"/>
      <c r="C17" s="119" t="s">
        <v>431</v>
      </c>
      <c r="D17" s="120"/>
      <c r="E17" s="121"/>
      <c r="F17" s="171">
        <v>1010</v>
      </c>
      <c r="G17" s="378" t="str">
        <f>INDEX(Data!$I$4:$AZ$108,MATCH($F17,Data!$I$4:$I$108,0),MATCH(G$1,Data!$I$4:$AZ$4,0))</f>
        <v>English</v>
      </c>
      <c r="H17" s="23" t="s">
        <v>66</v>
      </c>
      <c r="I17" s="96"/>
      <c r="J17" s="3"/>
    </row>
    <row r="18" spans="1:10" s="402" customFormat="1" ht="15" customHeight="1">
      <c r="A18" s="395"/>
      <c r="B18" s="396"/>
      <c r="C18" s="119" t="s">
        <v>432</v>
      </c>
      <c r="D18" s="397"/>
      <c r="E18" s="398"/>
      <c r="F18" s="399">
        <v>1011</v>
      </c>
      <c r="G18" s="403" t="str">
        <f>IF(LEN(INDEX(Data!$I$4:$AZ$108,MATCH(F18,Data!$I$4:$I$108,0),MATCH(G$1,Data!$I$4:$AZ$4,0)))&lt;255,HYPERLINK(INDEX(Data!$I$4:$AZ$108,MATCH(F18,Data!$I$4:$I$108,0),MATCH(G$1,Data!$I$4:$AZ$4,0)),INDEX(Data!$I$4:$AZ$108,MATCH(F18,Data!$I$4:$I$108,0),MATCH(G$1,Data!$I$4:$AZ$4,0))),INDEX(Data!$F$4:$AZ$108,MATCH(F18,Data!$I$4:$I$108,0),MATCH(G$1,Data!$I$4:$AZ$4,0)))</f>
        <v>https://www.abnamro.com/en/images/050_Investor_Relations/010_Financial_Disclosures/000_Homepage/Files/Global_systemically_important_institution_indicator_ABN_AMRO_2014.pdf</v>
      </c>
      <c r="H18" s="23" t="s">
        <v>67</v>
      </c>
      <c r="I18" s="400"/>
      <c r="J18" s="401"/>
    </row>
    <row r="19" spans="1:10" ht="20.100000000000001" customHeight="1">
      <c r="A19" s="15"/>
      <c r="B19" s="140"/>
      <c r="C19" s="405"/>
      <c r="D19" s="141"/>
      <c r="E19" s="132"/>
      <c r="F19" s="142"/>
      <c r="G19" s="132"/>
      <c r="H19" s="143"/>
      <c r="I19" s="144"/>
      <c r="J19" s="3"/>
    </row>
    <row r="20" spans="1:10" ht="20.100000000000001" customHeight="1">
      <c r="A20" s="15"/>
      <c r="B20" s="59" t="s">
        <v>33</v>
      </c>
      <c r="C20" s="60"/>
      <c r="D20" s="60"/>
      <c r="E20" s="60"/>
      <c r="F20" s="60"/>
      <c r="G20" s="60"/>
      <c r="H20" s="92"/>
      <c r="I20" s="61"/>
      <c r="J20" s="3"/>
    </row>
    <row r="21" spans="1:10" ht="20.100000000000001" customHeight="1">
      <c r="A21" s="15"/>
      <c r="B21" s="145"/>
      <c r="C21" s="146"/>
      <c r="D21" s="146"/>
      <c r="E21" s="147"/>
      <c r="F21" s="148"/>
      <c r="G21" s="147"/>
      <c r="H21" s="149"/>
      <c r="I21" s="150"/>
      <c r="J21" s="3"/>
    </row>
    <row r="22" spans="1:10" ht="15" customHeight="1">
      <c r="B22" s="95"/>
      <c r="C22" s="49" t="s">
        <v>363</v>
      </c>
      <c r="D22" s="50"/>
      <c r="E22" s="51"/>
      <c r="F22" s="48" t="s">
        <v>206</v>
      </c>
      <c r="G22" s="25" t="s">
        <v>613</v>
      </c>
      <c r="H22" s="23"/>
      <c r="I22" s="96"/>
      <c r="J22" s="3"/>
    </row>
    <row r="23" spans="1:10" ht="15" customHeight="1">
      <c r="A23" s="268"/>
      <c r="B23" s="97"/>
      <c r="C23" s="52" t="s">
        <v>241</v>
      </c>
      <c r="D23" s="53"/>
      <c r="E23" s="54"/>
      <c r="F23" s="47">
        <v>1012</v>
      </c>
      <c r="G23" s="37">
        <f>INDEX(Data!$I$4:$AZ$108,MATCH($F23,Data!$I$4:$I$108,0),MATCH(G$1,Data!$I$4:$AZ$4,0))</f>
        <v>8529803.0721458495</v>
      </c>
      <c r="H23" s="23" t="s">
        <v>164</v>
      </c>
      <c r="I23" s="96"/>
      <c r="J23" s="3"/>
    </row>
    <row r="24" spans="1:10" ht="15" customHeight="1">
      <c r="A24" s="268"/>
      <c r="B24" s="97"/>
      <c r="C24" s="52" t="s">
        <v>56</v>
      </c>
      <c r="D24" s="53"/>
      <c r="E24" s="54"/>
      <c r="F24" s="171">
        <v>1013</v>
      </c>
      <c r="G24" s="38">
        <f>INDEX(Data!$I$4:$AZ$108,MATCH($F24,Data!$I$4:$I$108,0),MATCH(G$1,Data!$I$4:$AZ$4,0))</f>
        <v>19303527.70258816</v>
      </c>
      <c r="H24" s="23" t="s">
        <v>41</v>
      </c>
      <c r="I24" s="96"/>
      <c r="J24" s="3"/>
    </row>
    <row r="25" spans="1:10" ht="15" customHeight="1">
      <c r="A25" s="268"/>
      <c r="B25" s="97"/>
      <c r="C25" s="52" t="s">
        <v>57</v>
      </c>
      <c r="D25" s="53"/>
      <c r="E25" s="55"/>
      <c r="F25" s="171">
        <v>1014</v>
      </c>
      <c r="G25" s="136">
        <f>INDEX(Data!$I$4:$AZ$108,MATCH($F25,Data!$I$4:$I$108,0),MATCH(G$1,Data!$I$4:$AZ$4,0))</f>
        <v>1077913.1850000001</v>
      </c>
      <c r="H25" s="23" t="s">
        <v>42</v>
      </c>
      <c r="I25" s="96"/>
      <c r="J25" s="3"/>
    </row>
    <row r="26" spans="1:10" ht="15" customHeight="1">
      <c r="A26" s="268"/>
      <c r="B26" s="97"/>
      <c r="C26" s="52" t="s">
        <v>58</v>
      </c>
      <c r="D26" s="53"/>
      <c r="E26" s="55"/>
      <c r="F26" s="47">
        <v>1015</v>
      </c>
      <c r="G26" s="136">
        <f>INDEX(Data!$I$4:$AZ$108,MATCH($F26,Data!$I$4:$I$108,0),MATCH(G$1,Data!$I$4:$AZ$4,0))</f>
        <v>359981319.38008422</v>
      </c>
      <c r="H26" s="23" t="s">
        <v>43</v>
      </c>
      <c r="I26" s="96"/>
      <c r="J26" s="3"/>
    </row>
    <row r="27" spans="1:10" ht="15" customHeight="1">
      <c r="A27" s="268"/>
      <c r="B27" s="98"/>
      <c r="C27" s="172" t="s">
        <v>30</v>
      </c>
      <c r="D27" s="56"/>
      <c r="E27" s="55"/>
      <c r="F27" s="171">
        <v>1016</v>
      </c>
      <c r="G27" s="38">
        <f>INDEX(Data!$I$4:$AZ$108,MATCH($F27,Data!$I$4:$I$108,0),MATCH(G$1,Data!$I$4:$AZ$4,0))</f>
        <v>0</v>
      </c>
      <c r="H27" s="23" t="s">
        <v>92</v>
      </c>
      <c r="I27" s="96"/>
      <c r="J27" s="3"/>
    </row>
    <row r="28" spans="1:10" ht="15" customHeight="1">
      <c r="A28" s="268"/>
      <c r="B28" s="97"/>
      <c r="C28" s="57" t="s">
        <v>243</v>
      </c>
      <c r="D28" s="58"/>
      <c r="E28" s="55"/>
      <c r="F28" s="171">
        <v>1017</v>
      </c>
      <c r="G28" s="39">
        <f>INDEX(Data!$I$4:$AZ$108,MATCH($F28,Data!$I$4:$I$108,0),MATCH(G$1,Data!$I$4:$AZ$4,0))</f>
        <v>388892563.33981824</v>
      </c>
      <c r="H28" s="23" t="s">
        <v>44</v>
      </c>
      <c r="I28" s="96"/>
      <c r="J28" s="3"/>
    </row>
    <row r="29" spans="1:10" ht="15" customHeight="1">
      <c r="A29" s="268"/>
      <c r="B29" s="97"/>
      <c r="C29" s="52" t="s">
        <v>242</v>
      </c>
      <c r="D29" s="53"/>
      <c r="E29" s="54"/>
      <c r="F29" s="47">
        <v>1018</v>
      </c>
      <c r="G29" s="38">
        <f>INDEX(Data!$I$4:$AZ$108,MATCH($F29,Data!$I$4:$I$108,0),MATCH(G$1,Data!$I$4:$AZ$4,0))</f>
        <v>4971774.1638884507</v>
      </c>
      <c r="H29" s="21" t="s">
        <v>165</v>
      </c>
      <c r="I29" s="96"/>
      <c r="J29" s="3"/>
    </row>
    <row r="30" spans="1:10" ht="15" customHeight="1">
      <c r="A30" s="268"/>
      <c r="B30" s="97"/>
      <c r="C30" s="52" t="s">
        <v>401</v>
      </c>
      <c r="D30" s="53"/>
      <c r="E30" s="54"/>
      <c r="F30" s="171">
        <v>1019</v>
      </c>
      <c r="G30" s="38">
        <f>INDEX(Data!$I$4:$AZ$108,MATCH($F30,Data!$I$4:$I$108,0),MATCH(G$1,Data!$I$4:$AZ$4,0))</f>
        <v>78509208.181681484</v>
      </c>
      <c r="H30" s="21" t="s">
        <v>45</v>
      </c>
      <c r="I30" s="96"/>
      <c r="J30" s="3"/>
    </row>
    <row r="31" spans="1:10" ht="15" customHeight="1">
      <c r="A31" s="268"/>
      <c r="B31" s="97"/>
      <c r="C31" s="172" t="s">
        <v>31</v>
      </c>
      <c r="D31" s="56"/>
      <c r="E31" s="55"/>
      <c r="F31" s="171">
        <v>1020</v>
      </c>
      <c r="G31" s="38">
        <f>INDEX(Data!$I$4:$AZ$108,MATCH($F31,Data!$I$4:$I$108,0),MATCH(G$1,Data!$I$4:$AZ$4,0))</f>
        <v>7193389.5070000002</v>
      </c>
      <c r="H31" s="21" t="s">
        <v>95</v>
      </c>
      <c r="I31" s="96"/>
      <c r="J31" s="3"/>
    </row>
    <row r="32" spans="1:10" ht="15" customHeight="1">
      <c r="A32" s="268"/>
      <c r="B32" s="97"/>
      <c r="C32" s="172" t="s">
        <v>32</v>
      </c>
      <c r="D32" s="56"/>
      <c r="E32" s="55"/>
      <c r="F32" s="47">
        <v>1021</v>
      </c>
      <c r="G32" s="38">
        <f>INDEX(Data!$I$4:$AZ$108,MATCH($F32,Data!$I$4:$I$108,0),MATCH(G$1,Data!$I$4:$AZ$4,0))</f>
        <v>71315818.674681485</v>
      </c>
      <c r="H32" s="21" t="s">
        <v>96</v>
      </c>
      <c r="I32" s="96"/>
      <c r="J32" s="3"/>
    </row>
    <row r="33" spans="1:10" ht="15" customHeight="1">
      <c r="A33" s="268"/>
      <c r="B33" s="97"/>
      <c r="C33" s="52" t="s">
        <v>402</v>
      </c>
      <c r="D33" s="53"/>
      <c r="E33" s="55"/>
      <c r="F33" s="171">
        <v>1022</v>
      </c>
      <c r="G33" s="136">
        <f>INDEX(Data!$I$4:$AZ$108,MATCH($F33,Data!$I$4:$I$108,0),MATCH(G$1,Data!$I$4:$AZ$4,0))</f>
        <v>859310.65346450615</v>
      </c>
      <c r="H33" s="21" t="s">
        <v>97</v>
      </c>
      <c r="I33" s="96"/>
      <c r="J33" s="3"/>
    </row>
    <row r="34" spans="1:10" ht="15" customHeight="1">
      <c r="A34" s="268"/>
      <c r="B34" s="97"/>
      <c r="C34" s="52" t="s">
        <v>403</v>
      </c>
      <c r="D34" s="53"/>
      <c r="E34" s="55"/>
      <c r="F34" s="171">
        <v>1023</v>
      </c>
      <c r="G34" s="38">
        <f>INDEX(Data!$I$4:$AZ$108,MATCH($F34,Data!$I$4:$I$108,0),MATCH(G$1,Data!$I$4:$AZ$4,0))</f>
        <v>9096474.6792315915</v>
      </c>
      <c r="H34" s="21" t="s">
        <v>98</v>
      </c>
      <c r="I34" s="96"/>
      <c r="J34" s="3"/>
    </row>
    <row r="35" spans="1:10" ht="15" customHeight="1">
      <c r="A35" s="268"/>
      <c r="B35" s="97"/>
      <c r="C35" s="52" t="s">
        <v>404</v>
      </c>
      <c r="D35" s="53"/>
      <c r="E35" s="55"/>
      <c r="F35" s="47">
        <v>1024</v>
      </c>
      <c r="G35" s="38">
        <f>INDEX(Data!$I$4:$AZ$108,MATCH($F35,Data!$I$4:$I$108,0),MATCH(G$1,Data!$I$4:$AZ$4,0))</f>
        <v>8895813.7785208337</v>
      </c>
      <c r="H35" s="21" t="s">
        <v>99</v>
      </c>
      <c r="I35" s="96"/>
      <c r="J35" s="3"/>
    </row>
    <row r="36" spans="1:10" ht="15" customHeight="1">
      <c r="A36" s="268"/>
      <c r="B36" s="97"/>
      <c r="C36" s="423" t="s">
        <v>246</v>
      </c>
      <c r="D36" s="424"/>
      <c r="E36" s="425"/>
      <c r="F36" s="33"/>
      <c r="G36" s="32"/>
      <c r="H36" s="21"/>
      <c r="I36" s="96"/>
      <c r="J36" s="3"/>
    </row>
    <row r="37" spans="1:10" ht="15" customHeight="1">
      <c r="A37" s="268"/>
      <c r="B37" s="97"/>
      <c r="C37" s="423"/>
      <c r="D37" s="424"/>
      <c r="E37" s="425"/>
      <c r="F37" s="40">
        <v>1025</v>
      </c>
      <c r="G37" s="41">
        <f>INDEX(Data!$I$4:$AZ$108,MATCH($F37,Data!$I$4:$I$108,0),MATCH(G$1,Data!$I$4:$AZ$4,0))</f>
        <v>31674294.093273532</v>
      </c>
      <c r="H37" s="21" t="s">
        <v>100</v>
      </c>
      <c r="I37" s="96"/>
      <c r="J37" s="3"/>
    </row>
    <row r="38" spans="1:10" ht="15" customHeight="1">
      <c r="A38" s="268"/>
      <c r="B38" s="98"/>
      <c r="C38" s="52" t="s">
        <v>93</v>
      </c>
      <c r="D38" s="53"/>
      <c r="E38" s="55"/>
      <c r="F38" s="33"/>
      <c r="G38" s="32"/>
      <c r="H38" s="21"/>
      <c r="I38" s="96"/>
      <c r="J38" s="3"/>
    </row>
    <row r="39" spans="1:10" ht="15" customHeight="1">
      <c r="A39" s="268"/>
      <c r="B39" s="98"/>
      <c r="C39" s="172" t="s">
        <v>244</v>
      </c>
      <c r="D39" s="56"/>
      <c r="E39" s="54"/>
      <c r="F39" s="171">
        <v>1026</v>
      </c>
      <c r="G39" s="38">
        <f>INDEX(Data!$I$4:$AZ$108,MATCH($F39,Data!$I$4:$I$108,0),MATCH(G$1,Data!$I$4:$AZ$4,0))</f>
        <v>0</v>
      </c>
      <c r="H39" s="21" t="s">
        <v>101</v>
      </c>
      <c r="I39" s="96"/>
      <c r="J39" s="3"/>
    </row>
    <row r="40" spans="1:10" ht="15" customHeight="1">
      <c r="A40" s="268"/>
      <c r="B40" s="98"/>
      <c r="C40" s="172" t="s">
        <v>68</v>
      </c>
      <c r="D40" s="56"/>
      <c r="E40" s="54"/>
      <c r="F40" s="171">
        <v>1027</v>
      </c>
      <c r="G40" s="38">
        <f>INDEX(Data!$I$4:$AZ$108,MATCH($F40,Data!$I$4:$I$108,0),MATCH(G$1,Data!$I$4:$AZ$4,0))</f>
        <v>0</v>
      </c>
      <c r="H40" s="21" t="s">
        <v>102</v>
      </c>
      <c r="I40" s="96"/>
      <c r="J40" s="3"/>
    </row>
    <row r="41" spans="1:10" ht="15" customHeight="1">
      <c r="A41" s="268"/>
      <c r="B41" s="98"/>
      <c r="C41" s="172" t="s">
        <v>69</v>
      </c>
      <c r="D41" s="56"/>
      <c r="E41" s="54"/>
      <c r="F41" s="171">
        <v>1028</v>
      </c>
      <c r="G41" s="38">
        <f>INDEX(Data!$I$4:$AZ$108,MATCH($F41,Data!$I$4:$I$108,0),MATCH(G$1,Data!$I$4:$AZ$4,0))</f>
        <v>0</v>
      </c>
      <c r="H41" s="21" t="s">
        <v>103</v>
      </c>
      <c r="I41" s="96"/>
      <c r="J41" s="3"/>
    </row>
    <row r="42" spans="1:10" ht="15" customHeight="1">
      <c r="A42" s="268"/>
      <c r="B42" s="98"/>
      <c r="C42" s="172" t="s">
        <v>245</v>
      </c>
      <c r="D42" s="56"/>
      <c r="E42" s="54"/>
      <c r="F42" s="171">
        <v>1029</v>
      </c>
      <c r="G42" s="38">
        <f>INDEX(Data!$I$4:$AZ$108,MATCH($F42,Data!$I$4:$I$108,0),MATCH(G$1,Data!$I$4:$AZ$4,0))</f>
        <v>0</v>
      </c>
      <c r="H42" s="21" t="s">
        <v>104</v>
      </c>
      <c r="I42" s="96"/>
      <c r="J42" s="3"/>
    </row>
    <row r="43" spans="1:10" ht="15" customHeight="1">
      <c r="A43" s="268"/>
      <c r="B43" s="98"/>
      <c r="C43" s="172" t="s">
        <v>70</v>
      </c>
      <c r="D43" s="56"/>
      <c r="E43" s="54"/>
      <c r="F43" s="171">
        <v>1030</v>
      </c>
      <c r="G43" s="38">
        <f>INDEX(Data!$I$4:$AZ$108,MATCH($F43,Data!$I$4:$I$108,0),MATCH(G$1,Data!$I$4:$AZ$4,0))</f>
        <v>0</v>
      </c>
      <c r="H43" s="21" t="s">
        <v>105</v>
      </c>
      <c r="I43" s="96"/>
      <c r="J43" s="3"/>
    </row>
    <row r="44" spans="1:10" ht="15" customHeight="1">
      <c r="A44" s="268"/>
      <c r="B44" s="99"/>
      <c r="C44" s="52" t="s">
        <v>94</v>
      </c>
      <c r="D44" s="53"/>
      <c r="E44" s="54"/>
      <c r="F44" s="171">
        <v>1031</v>
      </c>
      <c r="G44" s="136">
        <f>INDEX(Data!$I$4:$AZ$108,MATCH($F44,Data!$I$4:$I$108,0),MATCH(G$1,Data!$I$4:$AZ$4,0))</f>
        <v>-744183.92533592274</v>
      </c>
      <c r="H44" s="21" t="s">
        <v>106</v>
      </c>
      <c r="I44" s="96"/>
      <c r="J44" s="3"/>
    </row>
    <row r="45" spans="1:10" s="12" customFormat="1" ht="15" customHeight="1">
      <c r="A45" s="268"/>
      <c r="B45" s="100"/>
      <c r="C45" s="429" t="s">
        <v>253</v>
      </c>
      <c r="D45" s="429"/>
      <c r="E45" s="429"/>
      <c r="F45" s="33"/>
      <c r="G45" s="32"/>
      <c r="H45" s="23"/>
      <c r="I45" s="101"/>
      <c r="J45" s="3"/>
    </row>
    <row r="46" spans="1:10" ht="15" customHeight="1">
      <c r="A46" s="268"/>
      <c r="B46" s="102"/>
      <c r="C46" s="429"/>
      <c r="D46" s="429"/>
      <c r="E46" s="429"/>
      <c r="F46" s="171">
        <v>1032</v>
      </c>
      <c r="G46" s="43">
        <f>INDEX(Data!$I$4:$AZ$108,MATCH($F46,Data!$I$4:$I$108,0),MATCH(G$1,Data!$I$4:$AZ$4,0))</f>
        <v>421311041.3584277</v>
      </c>
      <c r="H46" s="21" t="s">
        <v>254</v>
      </c>
      <c r="I46" s="96"/>
      <c r="J46" s="3"/>
    </row>
    <row r="47" spans="1:10" ht="20.100000000000001" customHeight="1">
      <c r="A47" s="268"/>
      <c r="B47" s="151"/>
      <c r="C47" s="131"/>
      <c r="D47" s="131"/>
      <c r="E47" s="130"/>
      <c r="F47" s="152"/>
      <c r="G47" s="153"/>
      <c r="H47" s="154"/>
      <c r="I47" s="144"/>
      <c r="J47" s="3"/>
    </row>
    <row r="48" spans="1:10" ht="20.100000000000001" customHeight="1">
      <c r="A48" s="268"/>
      <c r="B48" s="59" t="s">
        <v>91</v>
      </c>
      <c r="C48" s="60"/>
      <c r="D48" s="60"/>
      <c r="E48" s="60"/>
      <c r="F48" s="60"/>
      <c r="G48" s="60"/>
      <c r="H48" s="92"/>
      <c r="I48" s="61"/>
      <c r="J48" s="3"/>
    </row>
    <row r="49" spans="1:10" ht="20.100000000000001" customHeight="1">
      <c r="A49" s="268"/>
      <c r="B49" s="156"/>
      <c r="C49" s="157"/>
      <c r="D49" s="157"/>
      <c r="E49" s="158"/>
      <c r="F49" s="159"/>
      <c r="G49" s="160"/>
      <c r="H49" s="161"/>
      <c r="I49" s="150"/>
      <c r="J49" s="3"/>
    </row>
    <row r="50" spans="1:10" ht="15" customHeight="1">
      <c r="A50" s="268"/>
      <c r="B50" s="95"/>
      <c r="C50" s="49" t="s">
        <v>364</v>
      </c>
      <c r="D50" s="50"/>
      <c r="E50" s="51"/>
      <c r="F50" s="48" t="s">
        <v>206</v>
      </c>
      <c r="G50" s="25" t="str">
        <f>G$22</f>
        <v>Amount</v>
      </c>
      <c r="H50" s="23"/>
      <c r="I50" s="96"/>
      <c r="J50" s="3"/>
    </row>
    <row r="51" spans="1:10" s="12" customFormat="1" ht="15" customHeight="1">
      <c r="A51" s="268"/>
      <c r="B51" s="100"/>
      <c r="C51" s="52" t="s">
        <v>410</v>
      </c>
      <c r="D51" s="53"/>
      <c r="E51" s="54"/>
      <c r="F51" s="171">
        <v>1033</v>
      </c>
      <c r="G51" s="38">
        <f>INDEX(Data!$I$4:$AZ$108,MATCH($F51,Data!$I$4:$I$108,0),MATCH(G$1,Data!$I$4:$AZ$4,0))</f>
        <v>52566590</v>
      </c>
      <c r="H51" s="23" t="s">
        <v>46</v>
      </c>
      <c r="I51" s="101"/>
      <c r="J51" s="3"/>
    </row>
    <row r="52" spans="1:10" s="12" customFormat="1" ht="15" customHeight="1">
      <c r="A52" s="268"/>
      <c r="B52" s="100"/>
      <c r="C52" s="172" t="s">
        <v>172</v>
      </c>
      <c r="D52" s="56"/>
      <c r="E52" s="54"/>
      <c r="F52" s="171">
        <v>1034</v>
      </c>
      <c r="G52" s="38">
        <f>INDEX(Data!$I$4:$AZ$108,MATCH($F52,Data!$I$4:$I$108,0),MATCH(G$1,Data!$I$4:$AZ$4,0))</f>
        <v>2961</v>
      </c>
      <c r="H52" s="23" t="s">
        <v>173</v>
      </c>
      <c r="I52" s="101"/>
      <c r="J52" s="3"/>
    </row>
    <row r="53" spans="1:10" s="12" customFormat="1" ht="15" customHeight="1">
      <c r="A53" s="268"/>
      <c r="B53" s="100"/>
      <c r="C53" s="52" t="s">
        <v>409</v>
      </c>
      <c r="D53" s="53"/>
      <c r="E53" s="54"/>
      <c r="F53" s="171">
        <v>1035</v>
      </c>
      <c r="G53" s="38">
        <f>INDEX(Data!$I$4:$AZ$108,MATCH($F53,Data!$I$4:$I$108,0),MATCH(G$1,Data!$I$4:$AZ$4,0))</f>
        <v>24657455</v>
      </c>
      <c r="H53" s="23" t="s">
        <v>47</v>
      </c>
      <c r="I53" s="101"/>
      <c r="J53" s="3"/>
    </row>
    <row r="54" spans="1:10" ht="15" customHeight="1">
      <c r="A54" s="268"/>
      <c r="B54" s="100"/>
      <c r="C54" s="52" t="s">
        <v>411</v>
      </c>
      <c r="D54" s="53"/>
      <c r="E54" s="54"/>
      <c r="F54" s="33"/>
      <c r="G54" s="32"/>
      <c r="H54" s="23"/>
      <c r="I54" s="96"/>
      <c r="J54" s="3"/>
    </row>
    <row r="55" spans="1:10" s="12" customFormat="1" ht="15" customHeight="1">
      <c r="A55" s="268"/>
      <c r="B55" s="100"/>
      <c r="C55" s="172" t="s">
        <v>34</v>
      </c>
      <c r="D55" s="56"/>
      <c r="E55" s="54"/>
      <c r="F55" s="171">
        <v>1036</v>
      </c>
      <c r="G55" s="38">
        <f>INDEX(Data!$I$4:$AZ$108,MATCH($F55,Data!$I$4:$I$108,0),MATCH(G$1,Data!$I$4:$AZ$4,0))</f>
        <v>7515147.1780199986</v>
      </c>
      <c r="H55" s="23" t="s">
        <v>71</v>
      </c>
      <c r="I55" s="101"/>
      <c r="J55" s="3"/>
    </row>
    <row r="56" spans="1:10" s="12" customFormat="1" ht="15" customHeight="1">
      <c r="A56" s="268"/>
      <c r="B56" s="100"/>
      <c r="C56" s="172" t="s">
        <v>35</v>
      </c>
      <c r="D56" s="56"/>
      <c r="E56" s="54"/>
      <c r="F56" s="171">
        <v>1037</v>
      </c>
      <c r="G56" s="38">
        <f>INDEX(Data!$I$4:$AZ$108,MATCH($F56,Data!$I$4:$I$108,0),MATCH(G$1,Data!$I$4:$AZ$4,0))</f>
        <v>516.12531999999999</v>
      </c>
      <c r="H56" s="23" t="s">
        <v>72</v>
      </c>
      <c r="I56" s="101"/>
      <c r="J56" s="3"/>
    </row>
    <row r="57" spans="1:10" s="12" customFormat="1" ht="15" customHeight="1">
      <c r="A57" s="268"/>
      <c r="B57" s="100"/>
      <c r="C57" s="172" t="s">
        <v>36</v>
      </c>
      <c r="D57" s="56"/>
      <c r="E57" s="54"/>
      <c r="F57" s="171">
        <v>1038</v>
      </c>
      <c r="G57" s="38">
        <f>INDEX(Data!$I$4:$AZ$108,MATCH($F57,Data!$I$4:$I$108,0),MATCH(G$1,Data!$I$4:$AZ$4,0))</f>
        <v>0</v>
      </c>
      <c r="H57" s="23" t="s">
        <v>73</v>
      </c>
      <c r="I57" s="101"/>
      <c r="J57" s="3"/>
    </row>
    <row r="58" spans="1:10" s="12" customFormat="1" ht="15" customHeight="1">
      <c r="A58" s="268"/>
      <c r="B58" s="100"/>
      <c r="C58" s="172" t="s">
        <v>37</v>
      </c>
      <c r="D58" s="56"/>
      <c r="E58" s="54"/>
      <c r="F58" s="171">
        <v>1039</v>
      </c>
      <c r="G58" s="38">
        <f>INDEX(Data!$I$4:$AZ$108,MATCH($F58,Data!$I$4:$I$108,0),MATCH(G$1,Data!$I$4:$AZ$4,0))</f>
        <v>0</v>
      </c>
      <c r="H58" s="23" t="s">
        <v>74</v>
      </c>
      <c r="I58" s="101"/>
      <c r="J58" s="3"/>
    </row>
    <row r="59" spans="1:10" s="12" customFormat="1" ht="15" customHeight="1">
      <c r="A59" s="268"/>
      <c r="B59" s="100"/>
      <c r="C59" s="172" t="s">
        <v>247</v>
      </c>
      <c r="D59" s="56"/>
      <c r="E59" s="54"/>
      <c r="F59" s="171">
        <v>1040</v>
      </c>
      <c r="G59" s="38">
        <f>INDEX(Data!$I$4:$AZ$108,MATCH($F59,Data!$I$4:$I$108,0),MATCH(G$1,Data!$I$4:$AZ$4,0))</f>
        <v>45689.408040000009</v>
      </c>
      <c r="H59" s="23" t="s">
        <v>75</v>
      </c>
      <c r="I59" s="101"/>
      <c r="J59" s="3"/>
    </row>
    <row r="60" spans="1:10" s="12" customFormat="1" ht="15" customHeight="1">
      <c r="A60" s="268"/>
      <c r="B60" s="100"/>
      <c r="C60" s="123" t="s">
        <v>388</v>
      </c>
      <c r="D60" s="124"/>
      <c r="E60" s="54"/>
      <c r="F60" s="171">
        <v>1041</v>
      </c>
      <c r="G60" s="38">
        <f>INDEX(Data!$I$4:$AZ$108,MATCH($F60,Data!$I$4:$I$108,0),MATCH(G$1,Data!$I$4:$AZ$4,0))</f>
        <v>0</v>
      </c>
      <c r="H60" s="23" t="s">
        <v>76</v>
      </c>
      <c r="I60" s="101"/>
      <c r="J60" s="3"/>
    </row>
    <row r="61" spans="1:10" s="12" customFormat="1" ht="15" customHeight="1">
      <c r="A61" s="268"/>
      <c r="B61" s="100"/>
      <c r="C61" s="52" t="s">
        <v>417</v>
      </c>
      <c r="D61" s="53"/>
      <c r="E61" s="54"/>
      <c r="F61" s="171">
        <v>1042</v>
      </c>
      <c r="G61" s="38">
        <f>INDEX(Data!$I$4:$AZ$108,MATCH($F61,Data!$I$4:$I$108,0),MATCH(G$1,Data!$I$4:$AZ$4,0))</f>
        <v>1032265.72</v>
      </c>
      <c r="H61" s="23" t="s">
        <v>48</v>
      </c>
      <c r="I61" s="101"/>
      <c r="J61" s="3"/>
    </row>
    <row r="62" spans="1:10" ht="15" customHeight="1">
      <c r="A62" s="268"/>
      <c r="B62" s="100"/>
      <c r="C62" s="52" t="s">
        <v>412</v>
      </c>
      <c r="D62" s="53"/>
      <c r="E62" s="54"/>
      <c r="F62" s="33"/>
      <c r="G62" s="32"/>
      <c r="H62" s="23"/>
      <c r="I62" s="96"/>
      <c r="J62" s="3"/>
    </row>
    <row r="63" spans="1:10" s="12" customFormat="1" ht="15" customHeight="1">
      <c r="A63" s="268"/>
      <c r="B63" s="100"/>
      <c r="C63" s="172" t="s">
        <v>248</v>
      </c>
      <c r="D63" s="56"/>
      <c r="E63" s="54"/>
      <c r="F63" s="42">
        <v>1043</v>
      </c>
      <c r="G63" s="38">
        <f>INDEX(Data!$I$4:$AZ$108,MATCH($F63,Data!$I$4:$I$108,0),MATCH(G$1,Data!$I$4:$AZ$4,0))</f>
        <v>4904700.0850999821</v>
      </c>
      <c r="H63" s="23" t="s">
        <v>29</v>
      </c>
      <c r="I63" s="101"/>
      <c r="J63" s="3"/>
    </row>
    <row r="64" spans="1:10" s="12" customFormat="1" ht="15" customHeight="1">
      <c r="A64" s="268"/>
      <c r="B64" s="100"/>
      <c r="C64" s="172" t="s">
        <v>38</v>
      </c>
      <c r="D64" s="56"/>
      <c r="E64" s="54"/>
      <c r="F64" s="171">
        <v>1044</v>
      </c>
      <c r="G64" s="38">
        <f>INDEX(Data!$I$4:$AZ$108,MATCH($F64,Data!$I$4:$I$108,0),MATCH(G$1,Data!$I$4:$AZ$4,0))</f>
        <v>2994829.8464455833</v>
      </c>
      <c r="H64" s="23" t="s">
        <v>77</v>
      </c>
      <c r="I64" s="101"/>
      <c r="J64" s="3"/>
    </row>
    <row r="65" spans="1:10" s="12" customFormat="1" ht="15" customHeight="1">
      <c r="A65" s="268"/>
      <c r="B65" s="100"/>
      <c r="C65" s="426" t="s">
        <v>174</v>
      </c>
      <c r="D65" s="427"/>
      <c r="E65" s="428"/>
      <c r="F65" s="33"/>
      <c r="G65" s="32"/>
      <c r="H65" s="23"/>
      <c r="I65" s="101"/>
      <c r="J65" s="3"/>
    </row>
    <row r="66" spans="1:10" ht="15" customHeight="1">
      <c r="A66" s="268"/>
      <c r="B66" s="100"/>
      <c r="C66" s="426"/>
      <c r="D66" s="427"/>
      <c r="E66" s="428"/>
      <c r="F66" s="171">
        <v>1045</v>
      </c>
      <c r="G66" s="43">
        <f>INDEX(Data!$I$4:$AZ$108,MATCH($F66,Data!$I$4:$I$108,0),MATCH(G$1,Data!$I$4:$AZ$4,0))</f>
        <v>93717193.362925574</v>
      </c>
      <c r="H66" s="23" t="s">
        <v>55</v>
      </c>
      <c r="I66" s="96"/>
      <c r="J66" s="3"/>
    </row>
    <row r="67" spans="1:10" ht="30" customHeight="1">
      <c r="A67" s="268"/>
      <c r="B67" s="103"/>
      <c r="C67" s="18"/>
      <c r="D67" s="18"/>
      <c r="E67" s="10"/>
      <c r="F67" s="29"/>
      <c r="G67" s="11"/>
      <c r="H67" s="23"/>
      <c r="I67" s="96"/>
      <c r="J67" s="3"/>
    </row>
    <row r="68" spans="1:10" ht="15" customHeight="1">
      <c r="A68" s="268"/>
      <c r="B68" s="95"/>
      <c r="C68" s="49" t="s">
        <v>365</v>
      </c>
      <c r="D68" s="50"/>
      <c r="E68" s="51"/>
      <c r="F68" s="67" t="s">
        <v>206</v>
      </c>
      <c r="G68" s="25" t="str">
        <f>G$22</f>
        <v>Amount</v>
      </c>
      <c r="H68" s="23"/>
      <c r="I68" s="96"/>
      <c r="J68" s="3"/>
    </row>
    <row r="69" spans="1:10" s="12" customFormat="1" ht="15" customHeight="1">
      <c r="A69" s="268"/>
      <c r="B69" s="102"/>
      <c r="C69" s="52" t="s">
        <v>39</v>
      </c>
      <c r="D69" s="53"/>
      <c r="E69" s="54"/>
      <c r="F69" s="171">
        <v>1046</v>
      </c>
      <c r="G69" s="38">
        <f>INDEX(Data!$I$4:$AZ$108,MATCH($F69,Data!$I$4:$I$108,0),MATCH(G$1,Data!$I$4:$AZ$4,0))</f>
        <v>12940464</v>
      </c>
      <c r="H69" s="23" t="s">
        <v>78</v>
      </c>
      <c r="I69" s="101"/>
      <c r="J69" s="3"/>
    </row>
    <row r="70" spans="1:10" s="12" customFormat="1" ht="15" customHeight="1">
      <c r="A70" s="268"/>
      <c r="B70" s="102"/>
      <c r="C70" s="52" t="s">
        <v>40</v>
      </c>
      <c r="D70" s="53"/>
      <c r="E70" s="54"/>
      <c r="F70" s="171">
        <v>1047</v>
      </c>
      <c r="G70" s="38">
        <f>INDEX(Data!$I$4:$AZ$108,MATCH($F70,Data!$I$4:$I$108,0),MATCH(G$1,Data!$I$4:$AZ$4,0))</f>
        <v>27941956</v>
      </c>
      <c r="H70" s="23" t="s">
        <v>79</v>
      </c>
      <c r="I70" s="101"/>
      <c r="J70" s="3"/>
    </row>
    <row r="71" spans="1:10" s="12" customFormat="1" ht="15" customHeight="1">
      <c r="A71" s="268"/>
      <c r="B71" s="102"/>
      <c r="C71" s="52" t="s">
        <v>413</v>
      </c>
      <c r="D71" s="53"/>
      <c r="E71" s="54"/>
      <c r="F71" s="171">
        <v>1048</v>
      </c>
      <c r="G71" s="38">
        <f>INDEX(Data!$I$4:$AZ$108,MATCH($F71,Data!$I$4:$I$108,0),MATCH(G$1,Data!$I$4:$AZ$4,0))</f>
        <v>219599</v>
      </c>
      <c r="H71" s="23" t="s">
        <v>80</v>
      </c>
      <c r="I71" s="101"/>
      <c r="J71" s="3"/>
    </row>
    <row r="72" spans="1:10" s="12" customFormat="1" ht="15" customHeight="1">
      <c r="A72" s="268"/>
      <c r="B72" s="102"/>
      <c r="C72" s="52" t="s">
        <v>418</v>
      </c>
      <c r="D72" s="53"/>
      <c r="E72" s="54"/>
      <c r="F72" s="171">
        <v>1049</v>
      </c>
      <c r="G72" s="38">
        <f>INDEX(Data!$I$4:$AZ$108,MATCH($F72,Data!$I$4:$I$108,0),MATCH(G$1,Data!$I$4:$AZ$4,0))</f>
        <v>784132.299</v>
      </c>
      <c r="H72" s="23" t="s">
        <v>81</v>
      </c>
      <c r="I72" s="101"/>
      <c r="J72" s="3"/>
    </row>
    <row r="73" spans="1:10" s="12" customFormat="1" ht="15" customHeight="1">
      <c r="A73" s="268"/>
      <c r="B73" s="102"/>
      <c r="C73" s="52" t="s">
        <v>414</v>
      </c>
      <c r="D73" s="53"/>
      <c r="E73" s="54"/>
      <c r="F73" s="33"/>
      <c r="G73" s="32"/>
      <c r="H73" s="23"/>
      <c r="I73" s="96"/>
      <c r="J73" s="3"/>
    </row>
    <row r="74" spans="1:10" s="12" customFormat="1" ht="15" customHeight="1">
      <c r="A74" s="268"/>
      <c r="B74" s="102"/>
      <c r="C74" s="172" t="s">
        <v>249</v>
      </c>
      <c r="D74" s="56"/>
      <c r="E74" s="54"/>
      <c r="F74" s="171">
        <v>1050</v>
      </c>
      <c r="G74" s="38">
        <f>INDEX(Data!$I$4:$AZ$108,MATCH($F74,Data!$I$4:$I$108,0),MATCH(G$1,Data!$I$4:$AZ$4,0))</f>
        <v>11865231.62318</v>
      </c>
      <c r="H74" s="23" t="s">
        <v>82</v>
      </c>
      <c r="I74" s="101"/>
      <c r="J74" s="3"/>
    </row>
    <row r="75" spans="1:10" s="12" customFormat="1" ht="15" customHeight="1">
      <c r="A75" s="268"/>
      <c r="B75" s="102"/>
      <c r="C75" s="172" t="s">
        <v>38</v>
      </c>
      <c r="D75" s="56"/>
      <c r="E75" s="54"/>
      <c r="F75" s="171">
        <v>1051</v>
      </c>
      <c r="G75" s="38">
        <f>INDEX(Data!$I$4:$AZ$108,MATCH($F75,Data!$I$4:$I$108,0),MATCH(G$1,Data!$I$4:$AZ$4,0))</f>
        <v>1339393.7899044566</v>
      </c>
      <c r="H75" s="23" t="s">
        <v>83</v>
      </c>
      <c r="I75" s="101"/>
      <c r="J75" s="3"/>
    </row>
    <row r="76" spans="1:10" s="12" customFormat="1" ht="15" customHeight="1">
      <c r="A76" s="268"/>
      <c r="B76" s="102"/>
      <c r="C76" s="178" t="s">
        <v>602</v>
      </c>
      <c r="D76" s="179"/>
      <c r="E76" s="66"/>
      <c r="F76" s="171">
        <v>1052</v>
      </c>
      <c r="G76" s="43">
        <f>INDEX(Data!$I$4:$AZ$108,MATCH($F76,Data!$I$4:$I$108,0),MATCH(G$1,Data!$I$4:$AZ$4,0))</f>
        <v>55090776.712084457</v>
      </c>
      <c r="H76" s="23" t="s">
        <v>255</v>
      </c>
      <c r="I76" s="96"/>
      <c r="J76" s="3"/>
    </row>
    <row r="77" spans="1:10" s="12" customFormat="1" ht="30" customHeight="1">
      <c r="A77" s="268"/>
      <c r="B77" s="103"/>
      <c r="C77" s="19"/>
      <c r="D77" s="19"/>
      <c r="E77" s="20"/>
      <c r="F77" s="30"/>
      <c r="G77" s="13"/>
      <c r="H77" s="17"/>
      <c r="I77" s="101"/>
      <c r="J77" s="3"/>
    </row>
    <row r="78" spans="1:10" ht="15" customHeight="1">
      <c r="A78" s="268"/>
      <c r="B78" s="95"/>
      <c r="C78" s="49" t="s">
        <v>366</v>
      </c>
      <c r="D78" s="50"/>
      <c r="E78" s="51"/>
      <c r="F78" s="48" t="s">
        <v>206</v>
      </c>
      <c r="G78" s="25" t="str">
        <f>G$22</f>
        <v>Amount</v>
      </c>
      <c r="H78" s="23"/>
      <c r="I78" s="96"/>
      <c r="J78" s="3"/>
    </row>
    <row r="79" spans="1:10" s="12" customFormat="1" ht="15" customHeight="1">
      <c r="A79" s="268"/>
      <c r="B79" s="102"/>
      <c r="C79" s="52" t="s">
        <v>49</v>
      </c>
      <c r="D79" s="53"/>
      <c r="E79" s="54"/>
      <c r="F79" s="171">
        <v>1053</v>
      </c>
      <c r="G79" s="38">
        <f>INDEX(Data!$I$4:$AZ$108,MATCH($F79,Data!$I$4:$I$108,0),MATCH(G$1,Data!$I$4:$AZ$4,0))</f>
        <v>27077000</v>
      </c>
      <c r="H79" s="23" t="s">
        <v>84</v>
      </c>
      <c r="I79" s="101"/>
      <c r="J79" s="3"/>
    </row>
    <row r="80" spans="1:10" s="12" customFormat="1" ht="15" customHeight="1">
      <c r="A80" s="268"/>
      <c r="B80" s="102"/>
      <c r="C80" s="52" t="s">
        <v>50</v>
      </c>
      <c r="D80" s="53"/>
      <c r="E80" s="54"/>
      <c r="F80" s="171">
        <v>1054</v>
      </c>
      <c r="G80" s="38">
        <f>INDEX(Data!$I$4:$AZ$108,MATCH($F80,Data!$I$4:$I$108,0),MATCH(G$1,Data!$I$4:$AZ$4,0))</f>
        <v>32252000</v>
      </c>
      <c r="H80" s="23" t="s">
        <v>85</v>
      </c>
      <c r="I80" s="101"/>
      <c r="J80" s="3"/>
    </row>
    <row r="81" spans="1:10" s="12" customFormat="1" ht="15" customHeight="1">
      <c r="A81" s="268"/>
      <c r="B81" s="102"/>
      <c r="C81" s="52" t="s">
        <v>51</v>
      </c>
      <c r="D81" s="53"/>
      <c r="E81" s="54"/>
      <c r="F81" s="171">
        <v>1055</v>
      </c>
      <c r="G81" s="38">
        <f>INDEX(Data!$I$4:$AZ$108,MATCH($F81,Data!$I$4:$I$108,0),MATCH(G$1,Data!$I$4:$AZ$4,0))</f>
        <v>8327758</v>
      </c>
      <c r="H81" s="23" t="s">
        <v>86</v>
      </c>
      <c r="I81" s="101"/>
      <c r="J81" s="3"/>
    </row>
    <row r="82" spans="1:10" s="12" customFormat="1" ht="15" customHeight="1">
      <c r="A82" s="268"/>
      <c r="B82" s="102"/>
      <c r="C82" s="52" t="s">
        <v>52</v>
      </c>
      <c r="D82" s="53"/>
      <c r="E82" s="54"/>
      <c r="F82" s="171">
        <v>1056</v>
      </c>
      <c r="G82" s="38">
        <f>INDEX(Data!$I$4:$AZ$108,MATCH($F82,Data!$I$4:$I$108,0),MATCH(G$1,Data!$I$4:$AZ$4,0))</f>
        <v>5776000</v>
      </c>
      <c r="H82" s="23" t="s">
        <v>87</v>
      </c>
      <c r="I82" s="101"/>
      <c r="J82" s="3"/>
    </row>
    <row r="83" spans="1:10" s="12" customFormat="1" ht="15" customHeight="1">
      <c r="A83" s="268"/>
      <c r="B83" s="102"/>
      <c r="C83" s="52" t="s">
        <v>53</v>
      </c>
      <c r="D83" s="53"/>
      <c r="E83" s="54"/>
      <c r="F83" s="171">
        <v>1057</v>
      </c>
      <c r="G83" s="38">
        <f>INDEX(Data!$I$4:$AZ$108,MATCH($F83,Data!$I$4:$I$108,0),MATCH(G$1,Data!$I$4:$AZ$4,0))</f>
        <v>2953000</v>
      </c>
      <c r="H83" s="23" t="s">
        <v>88</v>
      </c>
      <c r="I83" s="101"/>
      <c r="J83" s="3"/>
    </row>
    <row r="84" spans="1:10" s="12" customFormat="1" ht="15" customHeight="1">
      <c r="A84" s="268"/>
      <c r="B84" s="102"/>
      <c r="C84" s="52" t="s">
        <v>54</v>
      </c>
      <c r="D84" s="53"/>
      <c r="E84" s="54"/>
      <c r="F84" s="171">
        <v>1058</v>
      </c>
      <c r="G84" s="38">
        <f>INDEX(Data!$I$4:$AZ$108,MATCH($F84,Data!$I$4:$I$108,0),MATCH(G$1,Data!$I$4:$AZ$4,0))</f>
        <v>940000</v>
      </c>
      <c r="H84" s="23" t="s">
        <v>89</v>
      </c>
      <c r="I84" s="101"/>
      <c r="J84" s="3"/>
    </row>
    <row r="85" spans="1:10" s="12" customFormat="1" ht="15" customHeight="1">
      <c r="A85" s="268"/>
      <c r="B85" s="102"/>
      <c r="C85" s="52" t="s">
        <v>171</v>
      </c>
      <c r="D85" s="53"/>
      <c r="E85" s="54"/>
      <c r="F85" s="171">
        <v>1059</v>
      </c>
      <c r="G85" s="38">
        <f>INDEX(Data!$I$4:$AZ$108,MATCH($F85,Data!$I$4:$I$108,0),MATCH(G$1,Data!$I$4:$AZ$4,0))</f>
        <v>0</v>
      </c>
      <c r="H85" s="23" t="s">
        <v>90</v>
      </c>
      <c r="I85" s="101"/>
      <c r="J85" s="3"/>
    </row>
    <row r="86" spans="1:10" ht="15" customHeight="1">
      <c r="A86" s="268"/>
      <c r="B86" s="102"/>
      <c r="C86" s="178" t="s">
        <v>256</v>
      </c>
      <c r="D86" s="179"/>
      <c r="E86" s="66"/>
      <c r="F86" s="171">
        <v>1060</v>
      </c>
      <c r="G86" s="43">
        <f>INDEX(Data!$I$4:$AZ$108,MATCH($F86,Data!$I$4:$I$108,0),MATCH(G$1,Data!$I$4:$AZ$4,0))</f>
        <v>77325758</v>
      </c>
      <c r="H86" s="23" t="s">
        <v>257</v>
      </c>
      <c r="I86" s="96"/>
      <c r="J86" s="3"/>
    </row>
    <row r="87" spans="1:10" ht="20.100000000000001" customHeight="1">
      <c r="A87" s="268"/>
      <c r="B87" s="140"/>
      <c r="C87" s="404"/>
      <c r="D87" s="141"/>
      <c r="E87" s="132"/>
      <c r="F87" s="142"/>
      <c r="G87" s="132"/>
      <c r="H87" s="143"/>
      <c r="I87" s="144"/>
      <c r="J87" s="3"/>
    </row>
    <row r="88" spans="1:10" ht="20.100000000000001" customHeight="1">
      <c r="A88" s="268"/>
      <c r="B88" s="59" t="s">
        <v>107</v>
      </c>
      <c r="C88" s="60"/>
      <c r="D88" s="60"/>
      <c r="E88" s="60"/>
      <c r="F88" s="60"/>
      <c r="G88" s="60"/>
      <c r="H88" s="92"/>
      <c r="I88" s="61"/>
      <c r="J88" s="3"/>
    </row>
    <row r="89" spans="1:10" ht="20.100000000000001" customHeight="1">
      <c r="A89" s="268"/>
      <c r="B89" s="156"/>
      <c r="C89" s="157"/>
      <c r="D89" s="157"/>
      <c r="E89" s="158"/>
      <c r="F89" s="159"/>
      <c r="G89" s="160"/>
      <c r="H89" s="161"/>
      <c r="I89" s="150"/>
      <c r="J89" s="3"/>
    </row>
    <row r="90" spans="1:10" ht="15" customHeight="1">
      <c r="A90" s="268"/>
      <c r="B90" s="103"/>
      <c r="C90" s="417" t="s">
        <v>367</v>
      </c>
      <c r="D90" s="415" t="s">
        <v>191</v>
      </c>
      <c r="E90" s="415" t="s">
        <v>514</v>
      </c>
      <c r="F90" s="25"/>
      <c r="G90" s="416" t="str">
        <f>G$22</f>
        <v>Amount</v>
      </c>
      <c r="H90" s="17"/>
      <c r="I90" s="96"/>
      <c r="J90" s="3"/>
    </row>
    <row r="91" spans="1:10" ht="15" customHeight="1">
      <c r="A91" s="268"/>
      <c r="B91" s="97"/>
      <c r="C91" s="418"/>
      <c r="D91" s="415"/>
      <c r="E91" s="415"/>
      <c r="F91" s="48" t="s">
        <v>206</v>
      </c>
      <c r="G91" s="416"/>
      <c r="H91" s="23"/>
      <c r="I91" s="96"/>
      <c r="J91" s="3"/>
    </row>
    <row r="92" spans="1:10" ht="15" customHeight="1">
      <c r="A92" s="268"/>
      <c r="B92" s="97"/>
      <c r="C92" s="52" t="s">
        <v>178</v>
      </c>
      <c r="D92" s="177" t="s">
        <v>6</v>
      </c>
      <c r="E92" s="79">
        <f>INDEX(Data!$I$4:$AZ$108,MATCH($F92&amp;"c",Data!$I$4:$I$108,0),MATCH(G$1,Data!$I$4:$AZ$4,0))</f>
        <v>61575379.671629995</v>
      </c>
      <c r="F92" s="171">
        <v>1061</v>
      </c>
      <c r="G92" s="80">
        <f>INDEX(Data!$I$4:$AZ$108,MATCH($F92,Data!$I$4:$I$108,0),MATCH(G$1,Data!$I$4:$AZ$4,0))</f>
        <v>41865028.287670121</v>
      </c>
      <c r="H92" s="23" t="s">
        <v>108</v>
      </c>
      <c r="I92" s="96"/>
      <c r="J92" s="3"/>
    </row>
    <row r="93" spans="1:10" ht="15" customHeight="1">
      <c r="A93" s="268"/>
      <c r="B93" s="97"/>
      <c r="C93" s="52" t="s">
        <v>179</v>
      </c>
      <c r="D93" s="177" t="s">
        <v>10</v>
      </c>
      <c r="E93" s="81">
        <f>INDEX(Data!$I$4:$AZ$108,MATCH($F93&amp;"c",Data!$I$4:$I$108,0),MATCH(G$1,Data!$I$4:$AZ$4,0))</f>
        <v>16555160.38785</v>
      </c>
      <c r="F93" s="171">
        <v>1062</v>
      </c>
      <c r="G93" s="80">
        <f>INDEX(Data!$I$4:$AZ$108,MATCH($F93,Data!$I$4:$I$108,0),MATCH(G$1,Data!$I$4:$AZ$4,0))</f>
        <v>5310304.8139651231</v>
      </c>
      <c r="H93" s="23" t="s">
        <v>109</v>
      </c>
      <c r="I93" s="96"/>
      <c r="J93" s="3"/>
    </row>
    <row r="94" spans="1:10" ht="15" customHeight="1">
      <c r="A94" s="268"/>
      <c r="B94" s="97"/>
      <c r="C94" s="52" t="s">
        <v>180</v>
      </c>
      <c r="D94" s="177" t="s">
        <v>7</v>
      </c>
      <c r="E94" s="82">
        <f>INDEX(Data!$I$4:$AZ$108,MATCH($F94&amp;"c",Data!$I$4:$I$108,0),MATCH(G$1,Data!$I$4:$AZ$4,0))</f>
        <v>50883879.558380008</v>
      </c>
      <c r="F94" s="171">
        <v>1063</v>
      </c>
      <c r="G94" s="80">
        <f>INDEX(Data!$I$4:$AZ$108,MATCH($F94,Data!$I$4:$I$108,0),MATCH(G$1,Data!$I$4:$AZ$4,0))</f>
        <v>34734960.196450174</v>
      </c>
      <c r="H94" s="23" t="s">
        <v>110</v>
      </c>
      <c r="I94" s="96"/>
      <c r="J94" s="3"/>
    </row>
    <row r="95" spans="1:10" ht="15" customHeight="1">
      <c r="A95" s="268"/>
      <c r="B95" s="97"/>
      <c r="C95" s="52" t="s">
        <v>181</v>
      </c>
      <c r="D95" s="177" t="s">
        <v>8</v>
      </c>
      <c r="E95" s="83">
        <f>INDEX(Data!$I$4:$AZ$108,MATCH($F95&amp;"c",Data!$I$4:$I$108,0),MATCH(G$1,Data!$I$4:$AZ$4,0))</f>
        <v>45996739.99554</v>
      </c>
      <c r="F95" s="171">
        <v>1064</v>
      </c>
      <c r="G95" s="80">
        <f>INDEX(Data!$I$4:$AZ$108,MATCH($F95,Data!$I$4:$I$108,0),MATCH(G$1,Data!$I$4:$AZ$4,0))</f>
        <v>37871010.046090879</v>
      </c>
      <c r="H95" s="23" t="s">
        <v>111</v>
      </c>
      <c r="I95" s="96"/>
      <c r="J95" s="3"/>
    </row>
    <row r="96" spans="1:10" ht="15" customHeight="1">
      <c r="A96" s="268"/>
      <c r="B96" s="97"/>
      <c r="C96" s="52" t="s">
        <v>182</v>
      </c>
      <c r="D96" s="177" t="s">
        <v>4</v>
      </c>
      <c r="E96" s="84">
        <f>INDEX(Data!$I$4:$AZ$108,MATCH($F96&amp;"c",Data!$I$4:$I$108,0),MATCH(G$1,Data!$I$4:$AZ$4,0))</f>
        <v>60930210.154969983</v>
      </c>
      <c r="F96" s="171">
        <v>1065</v>
      </c>
      <c r="G96" s="80">
        <f>INDEX(Data!$I$4:$AZ$108,MATCH($F96,Data!$I$4:$I$108,0),MATCH(G$1,Data!$I$4:$AZ$4,0))</f>
        <v>7457185.6627503168</v>
      </c>
      <c r="H96" s="23" t="s">
        <v>112</v>
      </c>
      <c r="I96" s="96"/>
      <c r="J96" s="3"/>
    </row>
    <row r="97" spans="1:10" ht="15" customHeight="1">
      <c r="A97" s="268"/>
      <c r="B97" s="97"/>
      <c r="C97" s="52" t="s">
        <v>183</v>
      </c>
      <c r="D97" s="177" t="s">
        <v>1</v>
      </c>
      <c r="E97" s="85">
        <f>INDEX(Data!$I$4:$AZ$108,MATCH($F97&amp;"c",Data!$I$4:$I$108,0),MATCH(G$1,Data!$I$4:$AZ$4,0))</f>
        <v>1961097403.8610301</v>
      </c>
      <c r="F97" s="171">
        <v>1066</v>
      </c>
      <c r="G97" s="80">
        <f>INDEX(Data!$I$4:$AZ$108,MATCH($F97,Data!$I$4:$I$108,0),MATCH(G$1,Data!$I$4:$AZ$4,0))</f>
        <v>1961097403.8610301</v>
      </c>
      <c r="H97" s="23" t="s">
        <v>113</v>
      </c>
      <c r="I97" s="96"/>
      <c r="J97" s="3"/>
    </row>
    <row r="98" spans="1:10" ht="15" customHeight="1">
      <c r="A98" s="268"/>
      <c r="B98" s="97"/>
      <c r="C98" s="52" t="s">
        <v>184</v>
      </c>
      <c r="D98" s="177" t="s">
        <v>2</v>
      </c>
      <c r="E98" s="86">
        <f>INDEX(Data!$I$4:$AZ$108,MATCH($F98&amp;"c",Data!$I$4:$I$108,0),MATCH(G$1,Data!$I$4:$AZ$4,0))</f>
        <v>169274923.53665003</v>
      </c>
      <c r="F98" s="171">
        <v>1067</v>
      </c>
      <c r="G98" s="80">
        <f>INDEX(Data!$I$4:$AZ$108,MATCH($F98,Data!$I$4:$I$108,0),MATCH(G$1,Data!$I$4:$AZ$4,0))</f>
        <v>210080393.65004411</v>
      </c>
      <c r="H98" s="23" t="s">
        <v>114</v>
      </c>
      <c r="I98" s="96"/>
      <c r="J98" s="3"/>
    </row>
    <row r="99" spans="1:10" ht="15" customHeight="1">
      <c r="A99" s="268"/>
      <c r="B99" s="97"/>
      <c r="C99" s="52" t="s">
        <v>185</v>
      </c>
      <c r="D99" s="177" t="s">
        <v>5</v>
      </c>
      <c r="E99" s="87">
        <f>INDEX(Data!$I$4:$AZ$108,MATCH($F99&amp;"c",Data!$I$4:$I$108,0),MATCH(G$1,Data!$I$4:$AZ$4,0))</f>
        <v>505000840.80550992</v>
      </c>
      <c r="F99" s="171">
        <v>1068</v>
      </c>
      <c r="G99" s="80">
        <f>INDEX(Data!$I$4:$AZ$108,MATCH($F99,Data!$I$4:$I$108,0),MATCH(G$1,Data!$I$4:$AZ$4,0))</f>
        <v>49096577.663770869</v>
      </c>
      <c r="H99" s="23" t="s">
        <v>115</v>
      </c>
      <c r="I99" s="96"/>
      <c r="J99" s="3"/>
    </row>
    <row r="100" spans="1:10" ht="15" customHeight="1">
      <c r="A100" s="268"/>
      <c r="B100" s="97"/>
      <c r="C100" s="52" t="s">
        <v>186</v>
      </c>
      <c r="D100" s="177" t="s">
        <v>9</v>
      </c>
      <c r="E100" s="88">
        <f>INDEX(Data!$I$4:$AZ$108,MATCH($F100&amp;"c",Data!$I$4:$I$108,0),MATCH(G$1,Data!$I$4:$AZ$4,0))</f>
        <v>5933981.6048299996</v>
      </c>
      <c r="F100" s="171">
        <v>1069</v>
      </c>
      <c r="G100" s="80">
        <f>INDEX(Data!$I$4:$AZ$108,MATCH($F100,Data!$I$4:$I$108,0),MATCH(G$1,Data!$I$4:$AZ$4,0))</f>
        <v>73311.963201051112</v>
      </c>
      <c r="H100" s="23" t="s">
        <v>116</v>
      </c>
      <c r="I100" s="96"/>
      <c r="J100" s="3"/>
    </row>
    <row r="101" spans="1:10" ht="15" customHeight="1">
      <c r="A101" s="268"/>
      <c r="B101" s="97"/>
      <c r="C101" s="52" t="s">
        <v>187</v>
      </c>
      <c r="D101" s="177" t="s">
        <v>3</v>
      </c>
      <c r="E101" s="89">
        <f>INDEX(Data!$I$4:$AZ$108,MATCH($F101&amp;"c",Data!$I$4:$I$108,0),MATCH(G$1,Data!$I$4:$AZ$4,0))</f>
        <v>10036914076.166</v>
      </c>
      <c r="F101" s="171">
        <v>1070</v>
      </c>
      <c r="G101" s="80">
        <f>INDEX(Data!$I$4:$AZ$108,MATCH($F101,Data!$I$4:$I$108,0),MATCH(G$1,Data!$I$4:$AZ$4,0))</f>
        <v>71572361.065615118</v>
      </c>
      <c r="H101" s="23" t="s">
        <v>117</v>
      </c>
      <c r="I101" s="96"/>
      <c r="J101" s="3"/>
    </row>
    <row r="102" spans="1:10" ht="15" customHeight="1">
      <c r="A102" s="268"/>
      <c r="B102" s="97"/>
      <c r="C102" s="52" t="s">
        <v>188</v>
      </c>
      <c r="D102" s="177" t="s">
        <v>23</v>
      </c>
      <c r="E102" s="90">
        <f>INDEX(Data!$I$4:$AZ$108,MATCH($F102&amp;"c",Data!$I$4:$I$108,0),MATCH(G$1,Data!$I$4:$AZ$4,0))</f>
        <v>126627593.17791</v>
      </c>
      <c r="F102" s="171">
        <v>1071</v>
      </c>
      <c r="G102" s="80">
        <f>INDEX(Data!$I$4:$AZ$108,MATCH($F102,Data!$I$4:$I$108,0),MATCH(G$1,Data!$I$4:$AZ$4,0))</f>
        <v>13922636.37740404</v>
      </c>
      <c r="H102" s="23" t="s">
        <v>118</v>
      </c>
      <c r="I102" s="96"/>
      <c r="J102" s="3"/>
    </row>
    <row r="103" spans="1:10" ht="15" customHeight="1">
      <c r="A103" s="268"/>
      <c r="B103" s="97"/>
      <c r="C103" s="52" t="s">
        <v>189</v>
      </c>
      <c r="D103" s="177" t="s">
        <v>0</v>
      </c>
      <c r="E103" s="91">
        <f>INDEX(Data!$I$4:$AZ$108,MATCH($F103&amp;"c",Data!$I$4:$I$108,0),MATCH(G$1,Data!$I$4:$AZ$4,0))</f>
        <v>1923102287.0223</v>
      </c>
      <c r="F103" s="171">
        <v>1072</v>
      </c>
      <c r="G103" s="80">
        <f>INDEX(Data!$I$4:$AZ$108,MATCH($F103,Data!$I$4:$I$108,0),MATCH(G$1,Data!$I$4:$AZ$4,0))</f>
        <v>1449904795.9838507</v>
      </c>
      <c r="H103" s="23" t="s">
        <v>119</v>
      </c>
      <c r="I103" s="96"/>
      <c r="J103" s="3"/>
    </row>
    <row r="104" spans="1:10" ht="15" customHeight="1">
      <c r="A104" s="268"/>
      <c r="B104" s="97"/>
      <c r="C104" s="412" t="s">
        <v>259</v>
      </c>
      <c r="D104" s="413"/>
      <c r="E104" s="414"/>
      <c r="F104" s="171">
        <v>1073</v>
      </c>
      <c r="G104" s="174">
        <f>INDEX(Data!$I$4:$AZ$108,MATCH($F104,Data!$I$4:$I$108,0),MATCH(G$1,Data!$I$4:$AZ$4,0))</f>
        <v>3882985969.5718422</v>
      </c>
      <c r="H104" s="23" t="s">
        <v>258</v>
      </c>
      <c r="I104" s="96"/>
      <c r="J104" s="3"/>
    </row>
    <row r="105" spans="1:10" ht="20.100000000000001" customHeight="1">
      <c r="A105" s="268"/>
      <c r="B105" s="103"/>
      <c r="C105" s="18"/>
      <c r="D105" s="18"/>
      <c r="E105" s="10"/>
      <c r="F105" s="29"/>
      <c r="G105" s="11"/>
      <c r="H105" s="17"/>
      <c r="I105" s="96"/>
      <c r="J105" s="3"/>
    </row>
    <row r="106" spans="1:10" ht="20.100000000000001" customHeight="1">
      <c r="A106" s="268"/>
      <c r="B106" s="103"/>
      <c r="C106" s="18"/>
      <c r="D106" s="18"/>
      <c r="E106" s="10"/>
      <c r="F106" s="29"/>
      <c r="G106" s="11"/>
      <c r="H106" s="17"/>
      <c r="I106" s="96"/>
      <c r="J106" s="3"/>
    </row>
    <row r="107" spans="1:10" ht="15" customHeight="1">
      <c r="A107" s="268"/>
      <c r="B107" s="95"/>
      <c r="C107" s="69" t="s">
        <v>368</v>
      </c>
      <c r="D107" s="77"/>
      <c r="E107" s="78"/>
      <c r="F107" s="67" t="s">
        <v>206</v>
      </c>
      <c r="G107" s="25" t="str">
        <f>G$22</f>
        <v>Amount</v>
      </c>
      <c r="H107" s="23"/>
      <c r="I107" s="96"/>
      <c r="J107" s="3"/>
    </row>
    <row r="108" spans="1:10" ht="15" customHeight="1">
      <c r="A108" s="268"/>
      <c r="B108" s="104"/>
      <c r="C108" s="178" t="s">
        <v>251</v>
      </c>
      <c r="D108" s="201"/>
      <c r="E108" s="66"/>
      <c r="F108" s="171">
        <v>1074</v>
      </c>
      <c r="G108" s="38">
        <f>INDEX(Data!$I$4:$AZ$108,MATCH($F108,Data!$I$4:$I$108,0),MATCH(G$1,Data!$I$4:$AZ$4,0))</f>
        <v>231073836</v>
      </c>
      <c r="H108" s="23" t="s">
        <v>260</v>
      </c>
      <c r="I108" s="96"/>
      <c r="J108" s="3"/>
    </row>
    <row r="109" spans="1:10" ht="30" customHeight="1">
      <c r="A109" s="268"/>
      <c r="B109" s="103"/>
      <c r="C109" s="18"/>
      <c r="D109" s="18"/>
      <c r="E109" s="10"/>
      <c r="F109" s="29"/>
      <c r="G109" s="11"/>
      <c r="H109" s="17"/>
      <c r="I109" s="96"/>
      <c r="J109" s="3"/>
    </row>
    <row r="110" spans="1:10" ht="15" customHeight="1">
      <c r="A110" s="268"/>
      <c r="B110" s="95"/>
      <c r="C110" s="49" t="s">
        <v>369</v>
      </c>
      <c r="D110" s="50"/>
      <c r="E110" s="51"/>
      <c r="F110" s="67" t="s">
        <v>206</v>
      </c>
      <c r="G110" s="25" t="str">
        <f>G$22</f>
        <v>Amount</v>
      </c>
      <c r="H110" s="23"/>
      <c r="I110" s="96"/>
      <c r="J110" s="3"/>
    </row>
    <row r="111" spans="1:10" ht="15" customHeight="1">
      <c r="A111" s="268"/>
      <c r="B111" s="97"/>
      <c r="C111" s="52" t="s">
        <v>120</v>
      </c>
      <c r="D111" s="53"/>
      <c r="E111" s="54"/>
      <c r="F111" s="42">
        <v>1075</v>
      </c>
      <c r="G111" s="38">
        <f>INDEX(Data!$I$4:$AZ$108,MATCH($F111,Data!$I$4:$I$108,0),MATCH(G$1,Data!$I$4:$AZ$4,0))</f>
        <v>895968.09499999997</v>
      </c>
      <c r="H111" s="23" t="s">
        <v>122</v>
      </c>
      <c r="I111" s="96"/>
      <c r="J111" s="3"/>
    </row>
    <row r="112" spans="1:10" ht="15" customHeight="1">
      <c r="A112" s="268"/>
      <c r="B112" s="97"/>
      <c r="C112" s="125" t="s">
        <v>121</v>
      </c>
      <c r="D112" s="126"/>
      <c r="E112" s="54"/>
      <c r="F112" s="171">
        <v>1076</v>
      </c>
      <c r="G112" s="38">
        <f>INDEX(Data!$I$4:$AZ$108,MATCH($F112,Data!$I$4:$I$108,0),MATCH(G$1,Data!$I$4:$AZ$4,0))</f>
        <v>4691677.8613333302</v>
      </c>
      <c r="H112" s="23" t="s">
        <v>123</v>
      </c>
      <c r="I112" s="96"/>
      <c r="J112" s="3"/>
    </row>
    <row r="113" spans="1:10" ht="15" customHeight="1">
      <c r="A113" s="268"/>
      <c r="B113" s="97"/>
      <c r="C113" s="178" t="s">
        <v>262</v>
      </c>
      <c r="D113" s="179"/>
      <c r="E113" s="66"/>
      <c r="F113" s="171">
        <v>1077</v>
      </c>
      <c r="G113" s="43">
        <f>INDEX(Data!$I$4:$AZ$108,MATCH($F113,Data!$I$4:$I$108,0),MATCH(G$1,Data!$I$4:$AZ$4,0))</f>
        <v>5587645.9563333299</v>
      </c>
      <c r="H113" s="23" t="s">
        <v>261</v>
      </c>
      <c r="I113" s="96"/>
      <c r="J113" s="3"/>
    </row>
    <row r="114" spans="1:10" ht="20.100000000000001" customHeight="1">
      <c r="A114" s="268"/>
      <c r="B114" s="140"/>
      <c r="C114" s="141"/>
      <c r="D114" s="141"/>
      <c r="E114" s="132"/>
      <c r="F114" s="142"/>
      <c r="G114" s="132"/>
      <c r="H114" s="143"/>
      <c r="I114" s="144"/>
      <c r="J114" s="3"/>
    </row>
    <row r="115" spans="1:10" ht="20.100000000000001" customHeight="1">
      <c r="A115" s="268"/>
      <c r="B115" s="59" t="s">
        <v>124</v>
      </c>
      <c r="C115" s="60"/>
      <c r="D115" s="60"/>
      <c r="E115" s="60"/>
      <c r="F115" s="60"/>
      <c r="G115" s="60"/>
      <c r="H115" s="92"/>
      <c r="I115" s="61"/>
      <c r="J115" s="3"/>
    </row>
    <row r="116" spans="1:10" ht="20.100000000000001" customHeight="1">
      <c r="A116" s="268"/>
      <c r="B116" s="156"/>
      <c r="C116" s="157"/>
      <c r="D116" s="157"/>
      <c r="E116" s="158"/>
      <c r="F116" s="159"/>
      <c r="G116" s="160"/>
      <c r="H116" s="161"/>
      <c r="I116" s="150"/>
      <c r="J116" s="3"/>
    </row>
    <row r="117" spans="1:10" ht="15" customHeight="1">
      <c r="A117" s="268"/>
      <c r="B117" s="95"/>
      <c r="C117" s="49" t="s">
        <v>370</v>
      </c>
      <c r="D117" s="50"/>
      <c r="E117" s="62"/>
      <c r="F117" s="67" t="s">
        <v>206</v>
      </c>
      <c r="G117" s="25" t="str">
        <f>G$22</f>
        <v>Amount</v>
      </c>
      <c r="H117" s="23"/>
      <c r="I117" s="96"/>
      <c r="J117" s="3"/>
    </row>
    <row r="118" spans="1:10" ht="15" customHeight="1">
      <c r="A118" s="268"/>
      <c r="B118" s="105"/>
      <c r="C118" s="52" t="s">
        <v>125</v>
      </c>
      <c r="D118" s="53"/>
      <c r="E118" s="54"/>
      <c r="F118" s="171">
        <v>1078</v>
      </c>
      <c r="G118" s="38">
        <f>INDEX(Data!$I$4:$AZ$108,MATCH($F118,Data!$I$4:$I$108,0),MATCH(G$1,Data!$I$4:$AZ$4,0))</f>
        <v>585213000</v>
      </c>
      <c r="H118" s="23" t="s">
        <v>127</v>
      </c>
      <c r="I118" s="96"/>
      <c r="J118" s="3"/>
    </row>
    <row r="119" spans="1:10" ht="15" customHeight="1">
      <c r="A119" s="268"/>
      <c r="B119" s="105"/>
      <c r="C119" s="125" t="s">
        <v>126</v>
      </c>
      <c r="D119" s="126"/>
      <c r="E119" s="54"/>
      <c r="F119" s="171">
        <v>1079</v>
      </c>
      <c r="G119" s="38">
        <f>INDEX(Data!$I$4:$AZ$108,MATCH($F119,Data!$I$4:$I$108,0),MATCH(G$1,Data!$I$4:$AZ$4,0))</f>
        <v>512193000</v>
      </c>
      <c r="H119" s="23" t="s">
        <v>128</v>
      </c>
      <c r="I119" s="96"/>
      <c r="J119" s="3"/>
    </row>
    <row r="120" spans="1:10" ht="15" customHeight="1">
      <c r="A120" s="268"/>
      <c r="B120" s="105"/>
      <c r="C120" s="178" t="s">
        <v>166</v>
      </c>
      <c r="D120" s="179"/>
      <c r="E120" s="66"/>
      <c r="F120" s="171">
        <v>1080</v>
      </c>
      <c r="G120" s="43">
        <f>INDEX(Data!$I$4:$AZ$108,MATCH($F120,Data!$I$4:$I$108,0),MATCH(G$1,Data!$I$4:$AZ$4,0))</f>
        <v>1097406000</v>
      </c>
      <c r="H120" s="23" t="s">
        <v>129</v>
      </c>
      <c r="I120" s="96"/>
      <c r="J120" s="3"/>
    </row>
    <row r="121" spans="1:10" ht="30" customHeight="1">
      <c r="A121" s="268"/>
      <c r="B121" s="103"/>
      <c r="C121" s="18"/>
      <c r="D121" s="18"/>
      <c r="E121" s="10"/>
      <c r="F121" s="29"/>
      <c r="G121" s="11"/>
      <c r="H121" s="17"/>
      <c r="I121" s="96"/>
      <c r="J121" s="3"/>
    </row>
    <row r="122" spans="1:10" ht="15" customHeight="1">
      <c r="A122" s="268"/>
      <c r="B122" s="95"/>
      <c r="C122" s="49" t="s">
        <v>371</v>
      </c>
      <c r="D122" s="50"/>
      <c r="E122" s="62"/>
      <c r="F122" s="67" t="s">
        <v>206</v>
      </c>
      <c r="G122" s="25" t="str">
        <f>G$22</f>
        <v>Amount</v>
      </c>
      <c r="H122" s="23"/>
      <c r="I122" s="96"/>
      <c r="J122" s="3"/>
    </row>
    <row r="123" spans="1:10" ht="15" customHeight="1">
      <c r="A123" s="268"/>
      <c r="B123" s="97"/>
      <c r="C123" s="52" t="s">
        <v>130</v>
      </c>
      <c r="D123" s="53"/>
      <c r="E123" s="54"/>
      <c r="F123" s="171">
        <v>1081</v>
      </c>
      <c r="G123" s="136">
        <f>INDEX(Data!$I$4:$AZ$108,MATCH($F123,Data!$I$4:$I$108,0),MATCH(G$1,Data!$I$4:$AZ$4,0))</f>
        <v>8196160</v>
      </c>
      <c r="H123" s="23" t="s">
        <v>134</v>
      </c>
      <c r="I123" s="96"/>
      <c r="J123" s="3"/>
    </row>
    <row r="124" spans="1:10" ht="15" customHeight="1">
      <c r="A124" s="268"/>
      <c r="B124" s="97"/>
      <c r="C124" s="52" t="s">
        <v>131</v>
      </c>
      <c r="D124" s="53"/>
      <c r="E124" s="54"/>
      <c r="F124" s="171">
        <v>1082</v>
      </c>
      <c r="G124" s="38">
        <f>INDEX(Data!$I$4:$AZ$108,MATCH($F124,Data!$I$4:$I$108,0),MATCH(G$1,Data!$I$4:$AZ$4,0))</f>
        <v>40719854</v>
      </c>
      <c r="H124" s="23" t="s">
        <v>163</v>
      </c>
      <c r="I124" s="96"/>
      <c r="J124" s="3"/>
    </row>
    <row r="125" spans="1:10" ht="15" customHeight="1">
      <c r="A125" s="268"/>
      <c r="B125" s="97"/>
      <c r="C125" s="52" t="s">
        <v>132</v>
      </c>
      <c r="D125" s="53"/>
      <c r="E125" s="54"/>
      <c r="F125" s="171">
        <v>1083</v>
      </c>
      <c r="G125" s="38">
        <f>INDEX(Data!$I$4:$AZ$108,MATCH($F125,Data!$I$4:$I$108,0),MATCH(G$1,Data!$I$4:$AZ$4,0))</f>
        <v>44054723</v>
      </c>
      <c r="H125" s="23" t="s">
        <v>135</v>
      </c>
      <c r="I125" s="96"/>
      <c r="J125" s="15"/>
    </row>
    <row r="126" spans="1:10" ht="15" customHeight="1">
      <c r="A126" s="268"/>
      <c r="B126" s="97"/>
      <c r="C126" s="125" t="s">
        <v>205</v>
      </c>
      <c r="D126" s="126"/>
      <c r="E126" s="54"/>
      <c r="F126" s="171">
        <v>1084</v>
      </c>
      <c r="G126" s="136">
        <f>INDEX(Data!$I$4:$AZ$108,MATCH($F126,Data!$I$4:$I$108,0),MATCH(G$1,Data!$I$4:$AZ$4,0))</f>
        <v>3192958</v>
      </c>
      <c r="H126" s="23" t="s">
        <v>136</v>
      </c>
      <c r="I126" s="96"/>
      <c r="J126" s="15"/>
    </row>
    <row r="127" spans="1:10" ht="15" customHeight="1">
      <c r="A127" s="268"/>
      <c r="B127" s="97"/>
      <c r="C127" s="178" t="s">
        <v>263</v>
      </c>
      <c r="D127" s="179"/>
      <c r="E127" s="66"/>
      <c r="F127" s="171">
        <v>1085</v>
      </c>
      <c r="G127" s="43">
        <f>INDEX(Data!$I$4:$AZ$108,MATCH($F127,Data!$I$4:$I$108,0),MATCH(G$1,Data!$I$4:$AZ$4,0))</f>
        <v>1668333</v>
      </c>
      <c r="H127" s="23" t="s">
        <v>264</v>
      </c>
      <c r="I127" s="96"/>
      <c r="J127" s="15"/>
    </row>
    <row r="128" spans="1:10" ht="30" customHeight="1">
      <c r="A128" s="268"/>
      <c r="B128" s="103"/>
      <c r="C128" s="18"/>
      <c r="D128" s="18"/>
      <c r="E128" s="10"/>
      <c r="F128" s="29"/>
      <c r="G128" s="11"/>
      <c r="H128" s="17"/>
      <c r="I128" s="96"/>
      <c r="J128" s="3"/>
    </row>
    <row r="129" spans="1:10" ht="15" customHeight="1">
      <c r="A129" s="268"/>
      <c r="B129" s="95"/>
      <c r="C129" s="49" t="s">
        <v>372</v>
      </c>
      <c r="D129" s="50"/>
      <c r="E129" s="51"/>
      <c r="F129" s="67" t="s">
        <v>206</v>
      </c>
      <c r="G129" s="25" t="str">
        <f>G$22</f>
        <v>Amount</v>
      </c>
      <c r="H129" s="23"/>
      <c r="I129" s="96"/>
      <c r="J129" s="3"/>
    </row>
    <row r="130" spans="1:10" ht="15" customHeight="1">
      <c r="A130" s="268"/>
      <c r="B130" s="97"/>
      <c r="C130" s="178" t="s">
        <v>390</v>
      </c>
      <c r="D130" s="201"/>
      <c r="E130" s="66"/>
      <c r="F130" s="171">
        <v>1086</v>
      </c>
      <c r="G130" s="38">
        <f>INDEX(Data!$I$4:$AZ$108,MATCH($F130,Data!$I$4:$I$108,0),MATCH(G$1,Data!$I$4:$AZ$4,0))</f>
        <v>2005282</v>
      </c>
      <c r="H130" s="23" t="s">
        <v>137</v>
      </c>
      <c r="I130" s="96"/>
      <c r="J130" s="15"/>
    </row>
    <row r="131" spans="1:10" ht="20.100000000000001" customHeight="1">
      <c r="A131" s="268"/>
      <c r="B131" s="140"/>
      <c r="C131" s="141"/>
      <c r="D131" s="141"/>
      <c r="E131" s="132"/>
      <c r="F131" s="142"/>
      <c r="G131" s="132"/>
      <c r="H131" s="143"/>
      <c r="I131" s="144"/>
      <c r="J131" s="3"/>
    </row>
    <row r="132" spans="1:10" ht="20.100000000000001" customHeight="1">
      <c r="A132" s="268"/>
      <c r="B132" s="59" t="s">
        <v>138</v>
      </c>
      <c r="C132" s="60"/>
      <c r="D132" s="60"/>
      <c r="E132" s="60"/>
      <c r="F132" s="60"/>
      <c r="G132" s="60"/>
      <c r="H132" s="92"/>
      <c r="I132" s="61"/>
      <c r="J132" s="15"/>
    </row>
    <row r="133" spans="1:10" ht="20.100000000000001" customHeight="1">
      <c r="A133" s="268"/>
      <c r="B133" s="156"/>
      <c r="C133" s="157"/>
      <c r="D133" s="157"/>
      <c r="E133" s="158"/>
      <c r="F133" s="159"/>
      <c r="G133" s="160"/>
      <c r="H133" s="161"/>
      <c r="I133" s="150"/>
      <c r="J133" s="3"/>
    </row>
    <row r="134" spans="1:10" ht="15" customHeight="1">
      <c r="A134" s="268"/>
      <c r="B134" s="95"/>
      <c r="C134" s="49" t="s">
        <v>373</v>
      </c>
      <c r="D134" s="50"/>
      <c r="E134" s="51"/>
      <c r="F134" s="67" t="s">
        <v>206</v>
      </c>
      <c r="G134" s="25" t="str">
        <f>G$22</f>
        <v>Amount</v>
      </c>
      <c r="H134" s="23"/>
      <c r="I134" s="96"/>
      <c r="J134" s="3"/>
    </row>
    <row r="135" spans="1:10" ht="15" customHeight="1">
      <c r="A135" s="268"/>
      <c r="B135" s="97"/>
      <c r="C135" s="178" t="s">
        <v>391</v>
      </c>
      <c r="D135" s="201"/>
      <c r="E135" s="66"/>
      <c r="F135" s="171">
        <v>1087</v>
      </c>
      <c r="G135" s="38">
        <f>INDEX(Data!$I$4:$AZ$108,MATCH($F135,Data!$I$4:$I$108,0),MATCH(G$1,Data!$I$4:$AZ$4,0))</f>
        <v>114311106</v>
      </c>
      <c r="H135" s="23" t="s">
        <v>267</v>
      </c>
      <c r="I135" s="96"/>
      <c r="J135" s="3"/>
    </row>
    <row r="136" spans="1:10" ht="30" customHeight="1">
      <c r="A136" s="268"/>
      <c r="B136" s="103"/>
      <c r="C136" s="18"/>
      <c r="D136" s="18"/>
      <c r="E136" s="10"/>
      <c r="F136" s="29"/>
      <c r="G136" s="11"/>
      <c r="H136" s="17"/>
      <c r="I136" s="96"/>
      <c r="J136" s="3"/>
    </row>
    <row r="137" spans="1:10" ht="15" customHeight="1">
      <c r="A137" s="268"/>
      <c r="B137" s="95"/>
      <c r="C137" s="49" t="s">
        <v>374</v>
      </c>
      <c r="D137" s="50"/>
      <c r="E137" s="51"/>
      <c r="F137" s="76" t="s">
        <v>206</v>
      </c>
      <c r="G137" s="25" t="str">
        <f>G$22</f>
        <v>Amount</v>
      </c>
      <c r="H137" s="23"/>
      <c r="I137" s="96"/>
      <c r="J137" s="3"/>
    </row>
    <row r="138" spans="1:10" ht="15" customHeight="1">
      <c r="A138" s="268"/>
      <c r="B138" s="97"/>
      <c r="C138" s="52" t="s">
        <v>148</v>
      </c>
      <c r="D138" s="53"/>
      <c r="E138" s="54"/>
      <c r="F138" s="171">
        <v>1088</v>
      </c>
      <c r="G138" s="38">
        <f>INDEX(Data!$I$4:$AZ$108,MATCH($F138,Data!$I$4:$I$108,0),MATCH(G$1,Data!$I$4:$AZ$4,0))</f>
        <v>79115839</v>
      </c>
      <c r="H138" s="23" t="s">
        <v>139</v>
      </c>
      <c r="I138" s="96"/>
      <c r="J138" s="15"/>
    </row>
    <row r="139" spans="1:10" ht="15" customHeight="1">
      <c r="A139" s="268"/>
      <c r="B139" s="97"/>
      <c r="C139" s="172" t="s">
        <v>162</v>
      </c>
      <c r="D139" s="56"/>
      <c r="E139" s="54"/>
      <c r="F139" s="171">
        <v>1089</v>
      </c>
      <c r="G139" s="38">
        <f>INDEX(Data!$I$4:$AZ$108,MATCH($F139,Data!$I$4:$I$108,0),MATCH(G$1,Data!$I$4:$AZ$4,0))</f>
        <v>0</v>
      </c>
      <c r="H139" s="23" t="s">
        <v>141</v>
      </c>
      <c r="I139" s="96"/>
      <c r="J139" s="15"/>
    </row>
    <row r="140" spans="1:10" ht="15" customHeight="1">
      <c r="A140" s="268"/>
      <c r="B140" s="97"/>
      <c r="C140" s="52" t="s">
        <v>149</v>
      </c>
      <c r="D140" s="53"/>
      <c r="E140" s="54"/>
      <c r="F140" s="42">
        <v>1090</v>
      </c>
      <c r="G140" s="38">
        <f>INDEX(Data!$I$4:$AZ$108,MATCH($F140,Data!$I$4:$I$108,0),MATCH(G$1,Data!$I$4:$AZ$4,0))</f>
        <v>39036413</v>
      </c>
      <c r="H140" s="23" t="s">
        <v>140</v>
      </c>
      <c r="I140" s="96"/>
      <c r="J140" s="15"/>
    </row>
    <row r="141" spans="1:10" ht="15" customHeight="1">
      <c r="A141" s="268"/>
      <c r="B141" s="97"/>
      <c r="C141" s="178" t="s">
        <v>265</v>
      </c>
      <c r="D141" s="179"/>
      <c r="E141" s="66"/>
      <c r="F141" s="171">
        <v>1091</v>
      </c>
      <c r="G141" s="43">
        <f>INDEX(Data!$I$4:$AZ$108,MATCH($F141,Data!$I$4:$I$108,0),MATCH(G$1,Data!$I$4:$AZ$4,0))</f>
        <v>118152252</v>
      </c>
      <c r="H141" s="23" t="s">
        <v>266</v>
      </c>
      <c r="I141" s="96"/>
      <c r="J141" s="15"/>
    </row>
    <row r="142" spans="1:10" ht="20.100000000000001" customHeight="1">
      <c r="A142" s="268"/>
      <c r="B142" s="140"/>
      <c r="C142" s="141"/>
      <c r="D142" s="141"/>
      <c r="E142" s="132"/>
      <c r="F142" s="142"/>
      <c r="G142" s="132"/>
      <c r="H142" s="143"/>
      <c r="I142" s="144"/>
      <c r="J142" s="3"/>
    </row>
    <row r="143" spans="1:10" ht="20.100000000000001" customHeight="1">
      <c r="A143" s="268"/>
      <c r="B143" s="59" t="s">
        <v>269</v>
      </c>
      <c r="C143" s="60"/>
      <c r="D143" s="60"/>
      <c r="E143" s="60"/>
      <c r="F143" s="60"/>
      <c r="G143" s="60"/>
      <c r="H143" s="92"/>
      <c r="I143" s="61"/>
      <c r="J143" s="15"/>
    </row>
    <row r="144" spans="1:10" ht="20.100000000000001" customHeight="1">
      <c r="A144" s="268"/>
      <c r="B144" s="406"/>
      <c r="C144" s="18"/>
      <c r="D144" s="18"/>
      <c r="E144" s="10"/>
      <c r="F144" s="29"/>
      <c r="G144" s="11"/>
      <c r="H144" s="17"/>
      <c r="I144" s="3"/>
      <c r="J144" s="3"/>
    </row>
    <row r="145" spans="1:10" ht="20.100000000000001" customHeight="1">
      <c r="A145" s="268"/>
      <c r="B145" s="406"/>
      <c r="C145" s="18"/>
      <c r="D145" s="18"/>
      <c r="E145" s="10"/>
      <c r="F145" s="29"/>
      <c r="G145" s="11"/>
      <c r="H145" s="17"/>
      <c r="I145" s="3"/>
      <c r="J145" s="3"/>
    </row>
    <row r="146" spans="1:10" ht="20.100000000000001" customHeight="1">
      <c r="A146" s="268"/>
      <c r="B146" s="406"/>
      <c r="C146" s="18"/>
      <c r="D146" s="18"/>
      <c r="E146" s="10"/>
      <c r="F146" s="29"/>
      <c r="G146" s="11"/>
      <c r="H146" s="17"/>
      <c r="I146" s="3"/>
      <c r="J146" s="3"/>
    </row>
    <row r="147" spans="1:10" ht="15" customHeight="1">
      <c r="A147" s="268"/>
      <c r="B147" s="406"/>
      <c r="C147" s="18"/>
      <c r="D147" s="18"/>
      <c r="E147" s="10"/>
      <c r="F147" s="29"/>
      <c r="G147" s="11"/>
      <c r="H147" s="17"/>
      <c r="I147" s="3"/>
      <c r="J147" s="3"/>
    </row>
    <row r="148" spans="1:10" ht="15" customHeight="1">
      <c r="A148" s="268"/>
      <c r="B148" s="406"/>
      <c r="C148" s="18"/>
      <c r="D148" s="18"/>
      <c r="E148" s="10"/>
      <c r="F148" s="29"/>
      <c r="G148" s="11"/>
      <c r="H148" s="17"/>
      <c r="I148" s="3"/>
      <c r="J148" s="15"/>
    </row>
    <row r="149" spans="1:10" ht="15" customHeight="1">
      <c r="A149" s="268"/>
      <c r="B149" s="9"/>
      <c r="C149" s="407"/>
      <c r="D149" s="407"/>
      <c r="E149" s="407"/>
      <c r="F149" s="407"/>
      <c r="G149" s="407"/>
      <c r="H149" s="407"/>
      <c r="I149" s="407"/>
      <c r="J149" s="15"/>
    </row>
    <row r="150" spans="1:10" ht="15" customHeight="1">
      <c r="A150" s="268"/>
      <c r="B150" s="407"/>
      <c r="C150" s="407"/>
      <c r="D150" s="407"/>
      <c r="E150" s="407"/>
      <c r="F150" s="407"/>
      <c r="G150" s="407"/>
      <c r="H150" s="407"/>
      <c r="I150" s="407"/>
      <c r="J150" s="15"/>
    </row>
  </sheetData>
  <sheetProtection password="D63A" sheet="1" objects="1" scenarios="1"/>
  <mergeCells count="10">
    <mergeCell ref="F2:I2"/>
    <mergeCell ref="C3:E3"/>
    <mergeCell ref="C36:E37"/>
    <mergeCell ref="C65:E66"/>
    <mergeCell ref="C45:E46"/>
    <mergeCell ref="C104:E104"/>
    <mergeCell ref="D90:D91"/>
    <mergeCell ref="G90:G91"/>
    <mergeCell ref="C90:C91"/>
    <mergeCell ref="E90:E91"/>
  </mergeCells>
  <phoneticPr fontId="7" type="noConversion"/>
  <conditionalFormatting sqref="G8:G9">
    <cfRule type="containsText" priority="123" stopIfTrue="1" operator="containsText" text="&lt;select&gt;">
      <formula>NOT(ISERROR(SEARCH("&lt;select&gt;",G8)))</formula>
    </cfRule>
  </conditionalFormatting>
  <conditionalFormatting sqref="G8:G9">
    <cfRule type="containsBlanks" priority="126" stopIfTrue="1">
      <formula>LEN(TRIM(G8))=0</formula>
    </cfRule>
  </conditionalFormatting>
  <conditionalFormatting sqref="G16">
    <cfRule type="containsText" priority="223" stopIfTrue="1" operator="containsText" text="&lt;select&gt;">
      <formula>NOT(ISERROR(SEARCH("&lt;select&gt;",G16)))</formula>
    </cfRule>
  </conditionalFormatting>
  <conditionalFormatting sqref="G16">
    <cfRule type="containsBlanks" priority="374" stopIfTrue="1">
      <formula>LEN(TRIM(G16))=0</formula>
    </cfRule>
  </conditionalFormatting>
  <printOptions horizontalCentered="1"/>
  <pageMargins left="0.39370078740157483" right="0.39370078740157483" top="0.78740157480314965" bottom="0.59055118110236227" header="0.15748031496062992" footer="0.15748031496062992"/>
  <pageSetup paperSize="9" scale="53" fitToHeight="2" orientation="portrait" r:id="rId1"/>
  <headerFooter>
    <oddFooter>&amp;LEuropean Banking Authority&amp;Cofficial figures are on institutions' website&amp;REnd-2014 G-SII disclosure exercise</oddFooter>
  </headerFooter>
  <rowBreaks count="1" manualBreakCount="1">
    <brk id="87" max="9" man="1"/>
  </rowBreaks>
  <ignoredErrors>
    <ignoredError sqref="G14:G18 G23:G35 G39:G44 G51:G64 G69:G85 E92:E103 G108:G130 G135:G140 G8:G11" unlocked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'aux - sample'!$A$3:$A$39</xm:f>
          </x14:formula1>
          <xm:sqref>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6" tint="0.39997558519241921"/>
    <pageSetUpPr fitToPage="1"/>
  </sheetPr>
  <dimension ref="A1:U60"/>
  <sheetViews>
    <sheetView showGridLines="0" zoomScale="70" zoomScaleNormal="70" workbookViewId="0">
      <pane xSplit="5" ySplit="6" topLeftCell="F7" activePane="bottomRight" state="frozen"/>
      <selection activeCell="A24" sqref="A24:XFD24"/>
      <selection pane="topRight" activeCell="A24" sqref="A24:XFD24"/>
      <selection pane="bottomLeft" activeCell="A24" sqref="A24:XFD24"/>
      <selection pane="bottomRight" activeCell="H28" sqref="H28"/>
    </sheetView>
  </sheetViews>
  <sheetFormatPr defaultColWidth="0" defaultRowHeight="15.75" customHeight="1" zeroHeight="1"/>
  <cols>
    <col min="1" max="4" width="8.7109375" style="384" hidden="1" customWidth="1"/>
    <col min="5" max="5" width="38.140625" style="221" customWidth="1"/>
    <col min="6" max="6" width="20.7109375" style="220" customWidth="1"/>
    <col min="7" max="7" width="20.7109375" style="254" customWidth="1"/>
    <col min="8" max="17" width="20.7109375" style="220" customWidth="1"/>
    <col min="18" max="18" width="4.7109375" style="220" customWidth="1"/>
    <col min="19" max="21" width="9.140625" style="220" customWidth="1"/>
    <col min="22" max="16384" width="9.140625" style="220" hidden="1"/>
  </cols>
  <sheetData>
    <row r="1" spans="1:17" s="384" customFormat="1" ht="15.75" customHeight="1">
      <c r="A1" s="384">
        <v>1005</v>
      </c>
      <c r="B1" s="384">
        <v>1007</v>
      </c>
      <c r="E1" s="388"/>
      <c r="F1" s="389">
        <v>1032</v>
      </c>
      <c r="G1" s="390">
        <v>1045</v>
      </c>
      <c r="H1" s="389">
        <v>1052</v>
      </c>
      <c r="I1" s="389">
        <v>1060</v>
      </c>
      <c r="J1" s="389">
        <v>1073</v>
      </c>
      <c r="K1" s="389">
        <v>1074</v>
      </c>
      <c r="L1" s="389">
        <v>1077</v>
      </c>
      <c r="M1" s="389">
        <v>1080</v>
      </c>
      <c r="N1" s="389">
        <v>1085</v>
      </c>
      <c r="O1" s="389">
        <v>1086</v>
      </c>
      <c r="P1" s="389">
        <v>1087</v>
      </c>
      <c r="Q1" s="389">
        <v>1091</v>
      </c>
    </row>
    <row r="2" spans="1:17" s="222" customFormat="1" ht="24" customHeight="1" thickBot="1">
      <c r="A2" s="385"/>
      <c r="B2" s="385"/>
      <c r="C2" s="385"/>
      <c r="D2" s="385"/>
      <c r="E2" s="223"/>
      <c r="F2" s="433" t="s">
        <v>515</v>
      </c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</row>
    <row r="3" spans="1:17" s="224" customFormat="1" ht="24" customHeight="1">
      <c r="A3" s="386"/>
      <c r="B3" s="386"/>
      <c r="C3" s="386"/>
      <c r="D3" s="386"/>
      <c r="E3" s="225" t="s">
        <v>516</v>
      </c>
      <c r="F3" s="434" t="s">
        <v>517</v>
      </c>
      <c r="G3" s="435"/>
      <c r="H3" s="435"/>
      <c r="I3" s="435"/>
      <c r="J3" s="435"/>
      <c r="K3" s="435"/>
      <c r="L3" s="435"/>
      <c r="M3" s="435"/>
      <c r="N3" s="435"/>
      <c r="O3" s="435"/>
      <c r="P3" s="435"/>
      <c r="Q3" s="436"/>
    </row>
    <row r="4" spans="1:17" s="226" customFormat="1" ht="18.75">
      <c r="A4" s="387"/>
      <c r="B4" s="387"/>
      <c r="C4" s="387"/>
      <c r="D4" s="387"/>
      <c r="E4" s="227"/>
      <c r="F4" s="228" t="s">
        <v>518</v>
      </c>
      <c r="G4" s="437" t="s">
        <v>519</v>
      </c>
      <c r="H4" s="437"/>
      <c r="I4" s="437"/>
      <c r="J4" s="438" t="s">
        <v>520</v>
      </c>
      <c r="K4" s="438"/>
      <c r="L4" s="438"/>
      <c r="M4" s="439" t="s">
        <v>521</v>
      </c>
      <c r="N4" s="439"/>
      <c r="O4" s="439"/>
      <c r="P4" s="440" t="s">
        <v>522</v>
      </c>
      <c r="Q4" s="440"/>
    </row>
    <row r="5" spans="1:17" s="226" customFormat="1" ht="18.75">
      <c r="A5" s="387"/>
      <c r="B5" s="387"/>
      <c r="C5" s="387"/>
      <c r="D5" s="387"/>
      <c r="E5" s="227"/>
      <c r="F5" s="430" t="s">
        <v>523</v>
      </c>
      <c r="G5" s="431"/>
      <c r="H5" s="431"/>
      <c r="I5" s="431"/>
      <c r="J5" s="431"/>
      <c r="K5" s="431"/>
      <c r="L5" s="431"/>
      <c r="M5" s="431"/>
      <c r="N5" s="431"/>
      <c r="O5" s="431"/>
      <c r="P5" s="431"/>
      <c r="Q5" s="432"/>
    </row>
    <row r="6" spans="1:17" ht="110.25" customHeight="1" thickBot="1">
      <c r="E6" s="229" t="s">
        <v>524</v>
      </c>
      <c r="F6" s="230" t="s">
        <v>668</v>
      </c>
      <c r="G6" s="231" t="s">
        <v>525</v>
      </c>
      <c r="H6" s="232" t="s">
        <v>526</v>
      </c>
      <c r="I6" s="233" t="s">
        <v>527</v>
      </c>
      <c r="J6" s="234" t="s">
        <v>528</v>
      </c>
      <c r="K6" s="235" t="s">
        <v>529</v>
      </c>
      <c r="L6" s="236" t="s">
        <v>530</v>
      </c>
      <c r="M6" s="237" t="s">
        <v>669</v>
      </c>
      <c r="N6" s="238" t="s">
        <v>531</v>
      </c>
      <c r="O6" s="239" t="s">
        <v>532</v>
      </c>
      <c r="P6" s="240" t="s">
        <v>533</v>
      </c>
      <c r="Q6" s="241" t="s">
        <v>534</v>
      </c>
    </row>
    <row r="7" spans="1:17" ht="30" customHeight="1">
      <c r="A7" s="384">
        <f>INDEX(Data!$I$4:$AZ$108,MATCH(A$1,Data!$I$4:$I$108,0),MATCH($C7,Data!$I$4:$AZ$4,0))</f>
        <v>1</v>
      </c>
      <c r="B7" s="384">
        <f>IF(INDEX(Data!$I$4:$AZ$108,MATCH(B$1,Data!$I$4:$I$108,0),MATCH($C7,Data!$I$4:$AZ$4,0))=1,1000000,IF(INDEX(Data!$I$4:$AZ$108,MATCH(B$1,Data!$I$4:$I$108,0),MATCH($C7,Data!$I$4:$AZ$4,0))=1000000,1,INDEX(Data!$I$4:$AZ$108,MATCH(B$1,Data!$I$4:$I$108,0),MATCH($C7,Data!$I$4:$AZ$4,0))))</f>
        <v>1000</v>
      </c>
      <c r="C7" s="384" t="str">
        <f>+VLOOKUP(E7,'aux - sample'!$A$3:$B$39,2,FALSE)</f>
        <v>NL_ABN</v>
      </c>
      <c r="E7" s="242" t="s">
        <v>444</v>
      </c>
      <c r="F7" s="272">
        <f>$A7*INDEX(Data!$I$4:$AZ$108,MATCH(F$1,Data!$I$4:$I$108,0),MATCH($C7,Data!$I$4:$AZ$4,0))/$B7</f>
        <v>421311.04135842773</v>
      </c>
      <c r="G7" s="273">
        <f>$A7*INDEX(Data!$I$4:$AZ$108,MATCH(G$1,Data!$I$4:$I$108,0),MATCH($C7,Data!$I$4:$AZ$4,0))/$B7</f>
        <v>93717.19336292558</v>
      </c>
      <c r="H7" s="274">
        <f>$A7*INDEX(Data!$I$4:$AZ$108,MATCH(H$1,Data!$I$4:$I$108,0),MATCH($C7,Data!$I$4:$AZ$4,0))/$B7</f>
        <v>55090.776712084458</v>
      </c>
      <c r="I7" s="275">
        <f>$A7*INDEX(Data!$I$4:$AZ$108,MATCH(I$1,Data!$I$4:$I$108,0),MATCH($C7,Data!$I$4:$AZ$4,0))/$B7</f>
        <v>77325.758000000002</v>
      </c>
      <c r="J7" s="276">
        <f>$A7*INDEX(Data!$I$4:$AZ$108,MATCH(J$1,Data!$I$4:$I$108,0),MATCH($C7,Data!$I$4:$AZ$4,0))/$B7</f>
        <v>3882985.9695718423</v>
      </c>
      <c r="K7" s="274">
        <f>$A7*INDEX(Data!$I$4:$AZ$108,MATCH(K$1,Data!$I$4:$I$108,0),MATCH($C7,Data!$I$4:$AZ$4,0))/$B7</f>
        <v>231073.83600000001</v>
      </c>
      <c r="L7" s="277">
        <f>$A7*INDEX(Data!$I$4:$AZ$108,MATCH(L$1,Data!$I$4:$I$108,0),MATCH($C7,Data!$I$4:$AZ$4,0))/$B7</f>
        <v>5587.6459563333301</v>
      </c>
      <c r="M7" s="276">
        <f>$A7*INDEX(Data!$I$4:$AZ$108,MATCH(M$1,Data!$I$4:$I$108,0),MATCH($C7,Data!$I$4:$AZ$4,0))/$B7</f>
        <v>1097406</v>
      </c>
      <c r="N7" s="274">
        <f>$A7*INDEX(Data!$I$4:$AZ$108,MATCH(N$1,Data!$I$4:$I$108,0),MATCH($C7,Data!$I$4:$AZ$4,0))/$B7</f>
        <v>1668.3330000000001</v>
      </c>
      <c r="O7" s="277">
        <f>$A7*INDEX(Data!$I$4:$AZ$108,MATCH(O$1,Data!$I$4:$I$108,0),MATCH($C7,Data!$I$4:$AZ$4,0))/$B7</f>
        <v>2005.2819999999999</v>
      </c>
      <c r="P7" s="276">
        <f>$A7*INDEX(Data!$I$4:$AZ$108,MATCH(P$1,Data!$I$4:$I$108,0),MATCH($C7,Data!$I$4:$AZ$4,0))/$B7</f>
        <v>114311.106</v>
      </c>
      <c r="Q7" s="277">
        <f>$A7*INDEX(Data!$I$4:$AZ$108,MATCH(Q$1,Data!$I$4:$I$108,0),MATCH($C7,Data!$I$4:$AZ$4,0))/$B7</f>
        <v>118152.25199999999</v>
      </c>
    </row>
    <row r="8" spans="1:17" ht="30" customHeight="1">
      <c r="A8" s="384">
        <f>INDEX(Data!$I$4:$AZ$108,MATCH(A$1,Data!$I$4:$I$108,0),MATCH($C8,Data!$I$4:$AZ$4,0))</f>
        <v>1</v>
      </c>
      <c r="B8" s="384">
        <f>IF(INDEX(Data!$I$4:$AZ$108,MATCH(B$1,Data!$I$4:$I$108,0),MATCH($C8,Data!$I$4:$AZ$4,0))=1,1000000,IF(INDEX(Data!$I$4:$AZ$108,MATCH(B$1,Data!$I$4:$I$108,0),MATCH($C8,Data!$I$4:$AZ$4,0))=1000000,1,INDEX(Data!$I$4:$AZ$108,MATCH(B$1,Data!$I$4:$I$108,0),MATCH($C8,Data!$I$4:$AZ$4,0))))</f>
        <v>1000</v>
      </c>
      <c r="C8" s="384" t="str">
        <f>+VLOOKUP(E8,'aux - sample'!$A$3:$B$39,2,FALSE)</f>
        <v>IT_MPS</v>
      </c>
      <c r="E8" s="242" t="s">
        <v>446</v>
      </c>
      <c r="F8" s="243">
        <f>$A8*INDEX(Data!$I$4:$AZ$108,MATCH(F$1,Data!$I$4:$I$108,0),MATCH($C8,Data!$I$4:$AZ$4,0))/$B8</f>
        <v>201384.52153600001</v>
      </c>
      <c r="G8" s="244">
        <f>$A8*INDEX(Data!$I$4:$AZ$108,MATCH(G$1,Data!$I$4:$I$108,0),MATCH($C8,Data!$I$4:$AZ$4,0))/$B8</f>
        <v>37694.69442871002</v>
      </c>
      <c r="H8" s="245">
        <f>$A8*INDEX(Data!$I$4:$AZ$108,MATCH(H$1,Data!$I$4:$I$108,0),MATCH($C8,Data!$I$4:$AZ$4,0))/$B8</f>
        <v>35849.153485960007</v>
      </c>
      <c r="I8" s="246">
        <f>$A8*INDEX(Data!$I$4:$AZ$108,MATCH(I$1,Data!$I$4:$I$108,0),MATCH($C8,Data!$I$4:$AZ$4,0))/$B8</f>
        <v>51817.975521250002</v>
      </c>
      <c r="J8" s="247">
        <f>$A8*INDEX(Data!$I$4:$AZ$108,MATCH(J$1,Data!$I$4:$I$108,0),MATCH($C8,Data!$I$4:$AZ$4,0))/$B8</f>
        <v>721235.90693060542</v>
      </c>
      <c r="K8" s="245">
        <f>$A8*INDEX(Data!$I$4:$AZ$108,MATCH(K$1,Data!$I$4:$I$108,0),MATCH($C8,Data!$I$4:$AZ$4,0))/$B8</f>
        <v>171273.12899999999</v>
      </c>
      <c r="L8" s="248">
        <f>$A8*INDEX(Data!$I$4:$AZ$108,MATCH(L$1,Data!$I$4:$I$108,0),MATCH($C8,Data!$I$4:$AZ$4,0))/$B8</f>
        <v>2662.3090538869606</v>
      </c>
      <c r="M8" s="247">
        <f>$A8*INDEX(Data!$I$4:$AZ$108,MATCH(M$1,Data!$I$4:$I$108,0),MATCH($C8,Data!$I$4:$AZ$4,0))/$B8</f>
        <v>200310.10625154435</v>
      </c>
      <c r="N8" s="245">
        <f>$A8*INDEX(Data!$I$4:$AZ$108,MATCH(N$1,Data!$I$4:$I$108,0),MATCH($C8,Data!$I$4:$AZ$4,0))/$B8</f>
        <v>18976.498584892965</v>
      </c>
      <c r="O8" s="248">
        <f>$A8*INDEX(Data!$I$4:$AZ$108,MATCH(O$1,Data!$I$4:$I$108,0),MATCH($C8,Data!$I$4:$AZ$4,0))/$B8</f>
        <v>362.38</v>
      </c>
      <c r="P8" s="247">
        <f>$A8*INDEX(Data!$I$4:$AZ$108,MATCH(P$1,Data!$I$4:$I$108,0),MATCH($C8,Data!$I$4:$AZ$4,0))/$B8</f>
        <v>9972.7556341300005</v>
      </c>
      <c r="Q8" s="248">
        <f>$A8*INDEX(Data!$I$4:$AZ$108,MATCH(Q$1,Data!$I$4:$I$108,0),MATCH($C8,Data!$I$4:$AZ$4,0))/$B8</f>
        <v>23035.956635710008</v>
      </c>
    </row>
    <row r="9" spans="1:17" ht="30" customHeight="1">
      <c r="A9" s="384">
        <f>INDEX(Data!$I$4:$AZ$108,MATCH(A$1,Data!$I$4:$I$108,0),MATCH($C9,Data!$I$4:$AZ$4,0))</f>
        <v>1</v>
      </c>
      <c r="B9" s="384">
        <f>IF(INDEX(Data!$I$4:$AZ$108,MATCH(B$1,Data!$I$4:$I$108,0),MATCH($C9,Data!$I$4:$AZ$4,0))=1,1000000,IF(INDEX(Data!$I$4:$AZ$108,MATCH(B$1,Data!$I$4:$I$108,0),MATCH($C9,Data!$I$4:$AZ$4,0))=1000000,1,INDEX(Data!$I$4:$AZ$108,MATCH(B$1,Data!$I$4:$I$108,0),MATCH($C9,Data!$I$4:$AZ$4,0))))</f>
        <v>1000</v>
      </c>
      <c r="C9" s="384" t="str">
        <f>+VLOOKUP(E9,'aux - sample'!$A$3:$B$39,2,FALSE)</f>
        <v>FR_POS</v>
      </c>
      <c r="E9" s="242" t="s">
        <v>448</v>
      </c>
      <c r="F9" s="243">
        <f>$A9*INDEX(Data!$I$4:$AZ$108,MATCH(F$1,Data!$I$4:$I$108,0),MATCH($C9,Data!$I$4:$AZ$4,0))/$B9</f>
        <v>223336.85661293901</v>
      </c>
      <c r="G9" s="244">
        <f>$A9*INDEX(Data!$I$4:$AZ$108,MATCH(G$1,Data!$I$4:$I$108,0),MATCH($C9,Data!$I$4:$AZ$4,0))/$B9</f>
        <v>29927.832055080005</v>
      </c>
      <c r="H9" s="245">
        <f>$A9*INDEX(Data!$I$4:$AZ$108,MATCH(H$1,Data!$I$4:$I$108,0),MATCH($C9,Data!$I$4:$AZ$4,0))/$B9</f>
        <v>3639.9313609999999</v>
      </c>
      <c r="I9" s="246">
        <f>$A9*INDEX(Data!$I$4:$AZ$108,MATCH(I$1,Data!$I$4:$I$108,0),MATCH($C9,Data!$I$4:$AZ$4,0))/$B9</f>
        <v>11848.675999999999</v>
      </c>
      <c r="J9" s="247">
        <f>$A9*INDEX(Data!$I$4:$AZ$108,MATCH(J$1,Data!$I$4:$I$108,0),MATCH($C9,Data!$I$4:$AZ$4,0))/$B9</f>
        <v>619887.96846939519</v>
      </c>
      <c r="K9" s="245">
        <f>$A9*INDEX(Data!$I$4:$AZ$108,MATCH(K$1,Data!$I$4:$I$108,0),MATCH($C9,Data!$I$4:$AZ$4,0))/$B9</f>
        <v>152462.486</v>
      </c>
      <c r="L9" s="248">
        <f>$A9*INDEX(Data!$I$4:$AZ$108,MATCH(L$1,Data!$I$4:$I$108,0),MATCH($C9,Data!$I$4:$AZ$4,0))/$B9</f>
        <v>0</v>
      </c>
      <c r="M9" s="247">
        <f>$A9*INDEX(Data!$I$4:$AZ$108,MATCH(M$1,Data!$I$4:$I$108,0),MATCH($C9,Data!$I$4:$AZ$4,0))/$B9</f>
        <v>60329.492696000001</v>
      </c>
      <c r="N9" s="245">
        <f>$A9*INDEX(Data!$I$4:$AZ$108,MATCH(N$1,Data!$I$4:$I$108,0),MATCH($C9,Data!$I$4:$AZ$4,0))/$B9</f>
        <v>14654.94</v>
      </c>
      <c r="O9" s="248">
        <f>$A9*INDEX(Data!$I$4:$AZ$108,MATCH(O$1,Data!$I$4:$I$108,0),MATCH($C9,Data!$I$4:$AZ$4,0))/$B9</f>
        <v>252.96750700000001</v>
      </c>
      <c r="P9" s="247">
        <f>$A9*INDEX(Data!$I$4:$AZ$108,MATCH(P$1,Data!$I$4:$I$108,0),MATCH($C9,Data!$I$4:$AZ$4,0))/$B9</f>
        <v>25397.831999999999</v>
      </c>
      <c r="Q9" s="248">
        <f>$A9*INDEX(Data!$I$4:$AZ$108,MATCH(Q$1,Data!$I$4:$I$108,0),MATCH($C9,Data!$I$4:$AZ$4,0))/$B9</f>
        <v>1108.8174541600001</v>
      </c>
    </row>
    <row r="10" spans="1:17" ht="30" customHeight="1">
      <c r="A10" s="384">
        <f>INDEX(Data!$I$4:$AZ$108,MATCH(A$1,Data!$I$4:$I$108,0),MATCH($C10,Data!$I$4:$AZ$4,0))</f>
        <v>1.2838618559999999</v>
      </c>
      <c r="B10" s="384">
        <f>IF(INDEX(Data!$I$4:$AZ$108,MATCH(B$1,Data!$I$4:$I$108,0),MATCH($C10,Data!$I$4:$AZ$4,0))=1,1000000,IF(INDEX(Data!$I$4:$AZ$108,MATCH(B$1,Data!$I$4:$I$108,0),MATCH($C10,Data!$I$4:$AZ$4,0))=1000000,1,INDEX(Data!$I$4:$AZ$108,MATCH(B$1,Data!$I$4:$I$108,0),MATCH($C10,Data!$I$4:$AZ$4,0))))</f>
        <v>1</v>
      </c>
      <c r="C10" s="384" t="str">
        <f>+VLOOKUP(E10,'aux - sample'!$A$3:$B$39,2,FALSE)</f>
        <v>UK_BAR</v>
      </c>
      <c r="E10" s="242" t="s">
        <v>450</v>
      </c>
      <c r="F10" s="243">
        <f>$A10*INDEX(Data!$I$4:$AZ$108,MATCH(F$1,Data!$I$4:$I$108,0),MATCH($C10,Data!$I$4:$AZ$4,0))/$B10</f>
        <v>1940281.8017415577</v>
      </c>
      <c r="G10" s="244">
        <f>$A10*INDEX(Data!$I$4:$AZ$108,MATCH(G$1,Data!$I$4:$I$108,0),MATCH($C10,Data!$I$4:$AZ$4,0))/$B10</f>
        <v>281661.3965145665</v>
      </c>
      <c r="H10" s="245">
        <f>$A10*INDEX(Data!$I$4:$AZ$108,MATCH(H$1,Data!$I$4:$I$108,0),MATCH($C10,Data!$I$4:$AZ$4,0))/$B10</f>
        <v>324973.85187586921</v>
      </c>
      <c r="I10" s="246">
        <f>$A10*INDEX(Data!$I$4:$AZ$108,MATCH(I$1,Data!$I$4:$I$108,0),MATCH($C10,Data!$I$4:$AZ$4,0))/$B10</f>
        <v>243981.3469333195</v>
      </c>
      <c r="J10" s="247">
        <f>$A10*INDEX(Data!$I$4:$AZ$108,MATCH(J$1,Data!$I$4:$I$108,0),MATCH($C10,Data!$I$4:$AZ$4,0))/$B10</f>
        <v>40504697.082223125</v>
      </c>
      <c r="K10" s="245">
        <f>$A10*INDEX(Data!$I$4:$AZ$108,MATCH(K$1,Data!$I$4:$I$108,0),MATCH($C10,Data!$I$4:$AZ$4,0))/$B10</f>
        <v>167985.1557426785</v>
      </c>
      <c r="L10" s="248">
        <f>$A10*INDEX(Data!$I$4:$AZ$108,MATCH(L$1,Data!$I$4:$I$108,0),MATCH($C10,Data!$I$4:$AZ$4,0))/$B10</f>
        <v>333114.11598432652</v>
      </c>
      <c r="M10" s="247">
        <f>$A10*INDEX(Data!$I$4:$AZ$108,MATCH(M$1,Data!$I$4:$I$108,0),MATCH($C10,Data!$I$4:$AZ$4,0))/$B10</f>
        <v>38237786.608332671</v>
      </c>
      <c r="N10" s="245">
        <f>$A10*INDEX(Data!$I$4:$AZ$108,MATCH(N$1,Data!$I$4:$I$108,0),MATCH($C10,Data!$I$4:$AZ$4,0))/$B10</f>
        <v>112857.71558884786</v>
      </c>
      <c r="O10" s="248">
        <f>$A10*INDEX(Data!$I$4:$AZ$108,MATCH(O$1,Data!$I$4:$I$108,0),MATCH($C10,Data!$I$4:$AZ$4,0))/$B10</f>
        <v>41522.920355944356</v>
      </c>
      <c r="P10" s="247">
        <f>$A10*INDEX(Data!$I$4:$AZ$108,MATCH(P$1,Data!$I$4:$I$108,0),MATCH($C10,Data!$I$4:$AZ$4,0))/$B10</f>
        <v>683549.87778595195</v>
      </c>
      <c r="Q10" s="248">
        <f>$A10*INDEX(Data!$I$4:$AZ$108,MATCH(Q$1,Data!$I$4:$I$108,0),MATCH($C10,Data!$I$4:$AZ$4,0))/$B10</f>
        <v>551933.54056353879</v>
      </c>
    </row>
    <row r="11" spans="1:17" ht="30" customHeight="1">
      <c r="A11" s="384">
        <f>INDEX(Data!$I$4:$AZ$108,MATCH(A$1,Data!$I$4:$I$108,0),MATCH($C11,Data!$I$4:$AZ$4,0))</f>
        <v>1</v>
      </c>
      <c r="B11" s="384">
        <f>IF(INDEX(Data!$I$4:$AZ$108,MATCH(B$1,Data!$I$4:$I$108,0),MATCH($C11,Data!$I$4:$AZ$4,0))=1,1000000,IF(INDEX(Data!$I$4:$AZ$108,MATCH(B$1,Data!$I$4:$I$108,0),MATCH($C11,Data!$I$4:$AZ$4,0))=1000000,1,INDEX(Data!$I$4:$AZ$108,MATCH(B$1,Data!$I$4:$I$108,0),MATCH($C11,Data!$I$4:$AZ$4,0))))</f>
        <v>1000</v>
      </c>
      <c r="C11" s="384" t="str">
        <f>+VLOOKUP(E11,'aux - sample'!$A$3:$B$39,2,FALSE)</f>
        <v>DE_BLB</v>
      </c>
      <c r="E11" s="242" t="s">
        <v>499</v>
      </c>
      <c r="F11" s="243">
        <f>$A11*INDEX(Data!$I$4:$AZ$108,MATCH(F$1,Data!$I$4:$I$108,0),MATCH($C11,Data!$I$4:$AZ$4,0))/$B11</f>
        <v>275254.76980000001</v>
      </c>
      <c r="G11" s="244">
        <f>$A11*INDEX(Data!$I$4:$AZ$108,MATCH(G$1,Data!$I$4:$I$108,0),MATCH($C11,Data!$I$4:$AZ$4,0))/$B11</f>
        <v>76042.994000000006</v>
      </c>
      <c r="H11" s="245">
        <f>$A11*INDEX(Data!$I$4:$AZ$108,MATCH(H$1,Data!$I$4:$I$108,0),MATCH($C11,Data!$I$4:$AZ$4,0))/$B11</f>
        <v>110809.52800000001</v>
      </c>
      <c r="I11" s="246">
        <f>$A11*INDEX(Data!$I$4:$AZ$108,MATCH(I$1,Data!$I$4:$I$108,0),MATCH($C11,Data!$I$4:$AZ$4,0))/$B11</f>
        <v>49074.374000000003</v>
      </c>
      <c r="J11" s="247">
        <f>$A11*INDEX(Data!$I$4:$AZ$108,MATCH(J$1,Data!$I$4:$I$108,0),MATCH($C11,Data!$I$4:$AZ$4,0))/$B11</f>
        <v>2074094.7699363541</v>
      </c>
      <c r="K11" s="245">
        <f>$A11*INDEX(Data!$I$4:$AZ$108,MATCH(K$1,Data!$I$4:$I$108,0),MATCH($C11,Data!$I$4:$AZ$4,0))/$B11</f>
        <v>75880.649000000005</v>
      </c>
      <c r="L11" s="248">
        <f>$A11*INDEX(Data!$I$4:$AZ$108,MATCH(L$1,Data!$I$4:$I$108,0),MATCH($C11,Data!$I$4:$AZ$4,0))/$B11</f>
        <v>9380.5370000000003</v>
      </c>
      <c r="M11" s="247">
        <f>$A11*INDEX(Data!$I$4:$AZ$108,MATCH(M$1,Data!$I$4:$I$108,0),MATCH($C11,Data!$I$4:$AZ$4,0))/$B11</f>
        <v>1551013.2649999999</v>
      </c>
      <c r="N11" s="245">
        <f>$A11*INDEX(Data!$I$4:$AZ$108,MATCH(N$1,Data!$I$4:$I$108,0),MATCH($C11,Data!$I$4:$AZ$4,0))/$B11</f>
        <v>3601.4960000000001</v>
      </c>
      <c r="O11" s="248">
        <f>$A11*INDEX(Data!$I$4:$AZ$108,MATCH(O$1,Data!$I$4:$I$108,0),MATCH($C11,Data!$I$4:$AZ$4,0))/$B11</f>
        <v>3155.4749999999999</v>
      </c>
      <c r="P11" s="247">
        <f>$A11*INDEX(Data!$I$4:$AZ$108,MATCH(P$1,Data!$I$4:$I$108,0),MATCH($C11,Data!$I$4:$AZ$4,0))/$B11</f>
        <v>36192.726000000002</v>
      </c>
      <c r="Q11" s="248">
        <f>$A11*INDEX(Data!$I$4:$AZ$108,MATCH(Q$1,Data!$I$4:$I$108,0),MATCH($C11,Data!$I$4:$AZ$4,0))/$B11</f>
        <v>20251.245999999999</v>
      </c>
    </row>
    <row r="12" spans="1:17" ht="30" customHeight="1">
      <c r="A12" s="384">
        <f>INDEX(Data!$I$4:$AZ$108,MATCH(A$1,Data!$I$4:$I$108,0),MATCH($C12,Data!$I$4:$AZ$4,0))</f>
        <v>1</v>
      </c>
      <c r="B12" s="384">
        <f>IF(INDEX(Data!$I$4:$AZ$108,MATCH(B$1,Data!$I$4:$I$108,0),MATCH($C12,Data!$I$4:$AZ$4,0))=1,1000000,IF(INDEX(Data!$I$4:$AZ$108,MATCH(B$1,Data!$I$4:$I$108,0),MATCH($C12,Data!$I$4:$AZ$4,0))=1000000,1,INDEX(Data!$I$4:$AZ$108,MATCH(B$1,Data!$I$4:$I$108,0),MATCH($C12,Data!$I$4:$AZ$4,0))))</f>
        <v>1000</v>
      </c>
      <c r="C12" s="384" t="str">
        <f>+VLOOKUP(E12,'aux - sample'!$A$3:$B$39,2,FALSE)</f>
        <v>ES_BBV</v>
      </c>
      <c r="E12" s="242" t="s">
        <v>453</v>
      </c>
      <c r="F12" s="243">
        <f>$A12*INDEX(Data!$I$4:$AZ$108,MATCH(F$1,Data!$I$4:$I$108,0),MATCH($C12,Data!$I$4:$AZ$4,0))/$B12</f>
        <v>723166.99252178636</v>
      </c>
      <c r="G12" s="244">
        <f>$A12*INDEX(Data!$I$4:$AZ$108,MATCH(G$1,Data!$I$4:$I$108,0),MATCH($C12,Data!$I$4:$AZ$4,0))/$B12</f>
        <v>36749.237011817473</v>
      </c>
      <c r="H12" s="245">
        <f>$A12*INDEX(Data!$I$4:$AZ$108,MATCH(H$1,Data!$I$4:$I$108,0),MATCH($C12,Data!$I$4:$AZ$4,0))/$B12</f>
        <v>63938.760947315364</v>
      </c>
      <c r="I12" s="246">
        <f>$A12*INDEX(Data!$I$4:$AZ$108,MATCH(I$1,Data!$I$4:$I$108,0),MATCH($C12,Data!$I$4:$AZ$4,0))/$B12</f>
        <v>147321.21443264865</v>
      </c>
      <c r="J12" s="247">
        <f>$A12*INDEX(Data!$I$4:$AZ$108,MATCH(J$1,Data!$I$4:$I$108,0),MATCH($C12,Data!$I$4:$AZ$4,0))/$B12</f>
        <v>4796775.3059920901</v>
      </c>
      <c r="K12" s="245">
        <f>$A12*INDEX(Data!$I$4:$AZ$108,MATCH(K$1,Data!$I$4:$I$108,0),MATCH($C12,Data!$I$4:$AZ$4,0))/$B12</f>
        <v>635711.60699999996</v>
      </c>
      <c r="L12" s="248">
        <f>$A12*INDEX(Data!$I$4:$AZ$108,MATCH(L$1,Data!$I$4:$I$108,0),MATCH($C12,Data!$I$4:$AZ$4,0))/$B12</f>
        <v>31434.799999999999</v>
      </c>
      <c r="M12" s="247">
        <f>$A12*INDEX(Data!$I$4:$AZ$108,MATCH(M$1,Data!$I$4:$I$108,0),MATCH($C12,Data!$I$4:$AZ$4,0))/$B12</f>
        <v>1778441.1746698492</v>
      </c>
      <c r="N12" s="245">
        <f>$A12*INDEX(Data!$I$4:$AZ$108,MATCH(N$1,Data!$I$4:$I$108,0),MATCH($C12,Data!$I$4:$AZ$4,0))/$B12</f>
        <v>19155.472222598866</v>
      </c>
      <c r="O12" s="248">
        <f>$A12*INDEX(Data!$I$4:$AZ$108,MATCH(O$1,Data!$I$4:$I$108,0),MATCH($C12,Data!$I$4:$AZ$4,0))/$B12</f>
        <v>762.16399999999999</v>
      </c>
      <c r="P12" s="247">
        <f>$A12*INDEX(Data!$I$4:$AZ$108,MATCH(P$1,Data!$I$4:$I$108,0),MATCH($C12,Data!$I$4:$AZ$4,0))/$B12</f>
        <v>302419.68599999999</v>
      </c>
      <c r="Q12" s="248">
        <f>$A12*INDEX(Data!$I$4:$AZ$108,MATCH(Q$1,Data!$I$4:$I$108,0),MATCH($C12,Data!$I$4:$AZ$4,0))/$B12</f>
        <v>328071.43599999999</v>
      </c>
    </row>
    <row r="13" spans="1:17" ht="30" customHeight="1">
      <c r="A13" s="384">
        <f>INDEX(Data!$I$4:$AZ$108,MATCH(A$1,Data!$I$4:$I$108,0),MATCH($C13,Data!$I$4:$AZ$4,0))</f>
        <v>1</v>
      </c>
      <c r="B13" s="384">
        <f>IF(INDEX(Data!$I$4:$AZ$108,MATCH(B$1,Data!$I$4:$I$108,0),MATCH($C13,Data!$I$4:$AZ$4,0))=1,1000000,IF(INDEX(Data!$I$4:$AZ$108,MATCH(B$1,Data!$I$4:$I$108,0),MATCH($C13,Data!$I$4:$AZ$4,0))=1000000,1,INDEX(Data!$I$4:$AZ$108,MATCH(B$1,Data!$I$4:$I$108,0),MATCH($C13,Data!$I$4:$AZ$4,0))))</f>
        <v>1000</v>
      </c>
      <c r="C13" s="384" t="str">
        <f>+VLOOKUP(E13,'aux - sample'!$A$3:$B$39,2,FALSE)</f>
        <v>ES_BFA</v>
      </c>
      <c r="E13" s="242" t="s">
        <v>647</v>
      </c>
      <c r="F13" s="243">
        <f>$A13*INDEX(Data!$I$4:$AZ$108,MATCH(F$1,Data!$I$4:$I$108,0),MATCH($C13,Data!$I$4:$AZ$4,0))/$B13</f>
        <v>234816.41103946773</v>
      </c>
      <c r="G13" s="244">
        <f>$A13*INDEX(Data!$I$4:$AZ$108,MATCH(G$1,Data!$I$4:$I$108,0),MATCH($C13,Data!$I$4:$AZ$4,0))/$B13</f>
        <v>7837.2001263908996</v>
      </c>
      <c r="H13" s="245">
        <f>$A13*INDEX(Data!$I$4:$AZ$108,MATCH(H$1,Data!$I$4:$I$108,0),MATCH($C13,Data!$I$4:$AZ$4,0))/$B13</f>
        <v>19785.490371246608</v>
      </c>
      <c r="I13" s="246">
        <f>$A13*INDEX(Data!$I$4:$AZ$108,MATCH(I$1,Data!$I$4:$I$108,0),MATCH($C13,Data!$I$4:$AZ$4,0))/$B13</f>
        <v>41765.503737000006</v>
      </c>
      <c r="J13" s="247">
        <f>$A13*INDEX(Data!$I$4:$AZ$108,MATCH(J$1,Data!$I$4:$I$108,0),MATCH($C13,Data!$I$4:$AZ$4,0))/$B13</f>
        <v>944913.67129792448</v>
      </c>
      <c r="K13" s="245">
        <f>$A13*INDEX(Data!$I$4:$AZ$108,MATCH(K$1,Data!$I$4:$I$108,0),MATCH($C13,Data!$I$4:$AZ$4,0))/$B13</f>
        <v>41593</v>
      </c>
      <c r="L13" s="248">
        <f>$A13*INDEX(Data!$I$4:$AZ$108,MATCH(L$1,Data!$I$4:$I$108,0),MATCH($C13,Data!$I$4:$AZ$4,0))/$B13</f>
        <v>815.36741572000005</v>
      </c>
      <c r="M13" s="247">
        <f>$A13*INDEX(Data!$I$4:$AZ$108,MATCH(M$1,Data!$I$4:$I$108,0),MATCH($C13,Data!$I$4:$AZ$4,0))/$B13</f>
        <v>403170.23743299994</v>
      </c>
      <c r="N13" s="245">
        <f>$A13*INDEX(Data!$I$4:$AZ$108,MATCH(N$1,Data!$I$4:$I$108,0),MATCH($C13,Data!$I$4:$AZ$4,0))/$B13</f>
        <v>4058.7336813499851</v>
      </c>
      <c r="O13" s="248">
        <f>$A13*INDEX(Data!$I$4:$AZ$108,MATCH(O$1,Data!$I$4:$I$108,0),MATCH($C13,Data!$I$4:$AZ$4,0))/$B13</f>
        <v>148.68600000000001</v>
      </c>
      <c r="P13" s="247">
        <f>$A13*INDEX(Data!$I$4:$AZ$108,MATCH(P$1,Data!$I$4:$I$108,0),MATCH($C13,Data!$I$4:$AZ$4,0))/$B13</f>
        <v>18663.767</v>
      </c>
      <c r="Q13" s="248">
        <f>$A13*INDEX(Data!$I$4:$AZ$108,MATCH(Q$1,Data!$I$4:$I$108,0),MATCH($C13,Data!$I$4:$AZ$4,0))/$B13</f>
        <v>29414.771600938981</v>
      </c>
    </row>
    <row r="14" spans="1:17" ht="30" customHeight="1">
      <c r="A14" s="384">
        <f>INDEX(Data!$I$4:$AZ$108,MATCH(A$1,Data!$I$4:$I$108,0),MATCH($C14,Data!$I$4:$AZ$4,0))</f>
        <v>1</v>
      </c>
      <c r="B14" s="384">
        <f>IF(INDEX(Data!$I$4:$AZ$108,MATCH(B$1,Data!$I$4:$I$108,0),MATCH($C14,Data!$I$4:$AZ$4,0))=1,1000000,IF(INDEX(Data!$I$4:$AZ$108,MATCH(B$1,Data!$I$4:$I$108,0),MATCH($C14,Data!$I$4:$AZ$4,0))=1000000,1,INDEX(Data!$I$4:$AZ$108,MATCH(B$1,Data!$I$4:$I$108,0),MATCH($C14,Data!$I$4:$AZ$4,0))))</f>
        <v>1000</v>
      </c>
      <c r="C14" s="384" t="str">
        <f>+VLOOKUP(E14,'aux - sample'!$A$3:$B$39,2,FALSE)</f>
        <v>FR_BNP</v>
      </c>
      <c r="E14" s="242" t="s">
        <v>455</v>
      </c>
      <c r="F14" s="243">
        <f>$A14*INDEX(Data!$I$4:$AZ$108,MATCH(F$1,Data!$I$4:$I$108,0),MATCH($C14,Data!$I$4:$AZ$4,0))/$B14</f>
        <v>2252752.4781192285</v>
      </c>
      <c r="G14" s="244">
        <f>$A14*INDEX(Data!$I$4:$AZ$108,MATCH(G$1,Data!$I$4:$I$108,0),MATCH($C14,Data!$I$4:$AZ$4,0))/$B14</f>
        <v>254082.08599559439</v>
      </c>
      <c r="H14" s="245">
        <f>$A14*INDEX(Data!$I$4:$AZ$108,MATCH(H$1,Data!$I$4:$I$108,0),MATCH($C14,Data!$I$4:$AZ$4,0))/$B14</f>
        <v>418504.80131006974</v>
      </c>
      <c r="I14" s="246">
        <f>$A14*INDEX(Data!$I$4:$AZ$108,MATCH(I$1,Data!$I$4:$I$108,0),MATCH($C14,Data!$I$4:$AZ$4,0))/$B14</f>
        <v>336180.66970820725</v>
      </c>
      <c r="J14" s="247">
        <f>$A14*INDEX(Data!$I$4:$AZ$108,MATCH(J$1,Data!$I$4:$I$108,0),MATCH($C14,Data!$I$4:$AZ$4,0))/$B14</f>
        <v>43413380.658571333</v>
      </c>
      <c r="K14" s="245">
        <f>$A14*INDEX(Data!$I$4:$AZ$108,MATCH(K$1,Data!$I$4:$I$108,0),MATCH($C14,Data!$I$4:$AZ$4,0))/$B14</f>
        <v>4554000</v>
      </c>
      <c r="L14" s="248">
        <f>$A14*INDEX(Data!$I$4:$AZ$108,MATCH(L$1,Data!$I$4:$I$108,0),MATCH($C14,Data!$I$4:$AZ$4,0))/$B14</f>
        <v>161588.16982538512</v>
      </c>
      <c r="M14" s="247">
        <f>$A14*INDEX(Data!$I$4:$AZ$108,MATCH(M$1,Data!$I$4:$I$108,0),MATCH($C14,Data!$I$4:$AZ$4,0))/$B14</f>
        <v>35228738.603993937</v>
      </c>
      <c r="N14" s="245">
        <f>$A14*INDEX(Data!$I$4:$AZ$108,MATCH(N$1,Data!$I$4:$I$108,0),MATCH($C14,Data!$I$4:$AZ$4,0))/$B14</f>
        <v>206934.74233544813</v>
      </c>
      <c r="O14" s="248">
        <f>$A14*INDEX(Data!$I$4:$AZ$108,MATCH(O$1,Data!$I$4:$I$108,0),MATCH($C14,Data!$I$4:$AZ$4,0))/$B14</f>
        <v>27409.916506999998</v>
      </c>
      <c r="P14" s="247">
        <f>$A14*INDEX(Data!$I$4:$AZ$108,MATCH(P$1,Data!$I$4:$I$108,0),MATCH($C14,Data!$I$4:$AZ$4,0))/$B14</f>
        <v>989428.89114483877</v>
      </c>
      <c r="Q14" s="248">
        <f>$A14*INDEX(Data!$I$4:$AZ$108,MATCH(Q$1,Data!$I$4:$I$108,0),MATCH($C14,Data!$I$4:$AZ$4,0))/$B14</f>
        <v>756816.44128925609</v>
      </c>
    </row>
    <row r="15" spans="1:17" ht="30" customHeight="1">
      <c r="A15" s="384">
        <f>INDEX(Data!$I$4:$AZ$108,MATCH(A$1,Data!$I$4:$I$108,0),MATCH($C15,Data!$I$4:$AZ$4,0))</f>
        <v>1</v>
      </c>
      <c r="B15" s="384">
        <f>IF(INDEX(Data!$I$4:$AZ$108,MATCH(B$1,Data!$I$4:$I$108,0),MATCH($C15,Data!$I$4:$AZ$4,0))=1,1000000,IF(INDEX(Data!$I$4:$AZ$108,MATCH(B$1,Data!$I$4:$I$108,0),MATCH($C15,Data!$I$4:$AZ$4,0))=1000000,1,INDEX(Data!$I$4:$AZ$108,MATCH(B$1,Data!$I$4:$I$108,0),MATCH($C15,Data!$I$4:$AZ$4,0))))</f>
        <v>1</v>
      </c>
      <c r="C15" s="384" t="str">
        <f>+VLOOKUP(E15,'aux - sample'!$A$3:$B$39,2,FALSE)</f>
        <v>FR_BPC</v>
      </c>
      <c r="E15" s="242" t="s">
        <v>457</v>
      </c>
      <c r="F15" s="243">
        <f>$A15*INDEX(Data!$I$4:$AZ$108,MATCH(F$1,Data!$I$4:$I$108,0),MATCH($C15,Data!$I$4:$AZ$4,0))/$B15</f>
        <v>1336599.9354376059</v>
      </c>
      <c r="G15" s="244">
        <f>$A15*INDEX(Data!$I$4:$AZ$108,MATCH(G$1,Data!$I$4:$I$108,0),MATCH($C15,Data!$I$4:$AZ$4,0))/$B15</f>
        <v>183786.95967553224</v>
      </c>
      <c r="H15" s="245">
        <f>$A15*INDEX(Data!$I$4:$AZ$108,MATCH(H$1,Data!$I$4:$I$108,0),MATCH($C15,Data!$I$4:$AZ$4,0))/$B15</f>
        <v>212805.2477359217</v>
      </c>
      <c r="I15" s="246">
        <f>$A15*INDEX(Data!$I$4:$AZ$108,MATCH(I$1,Data!$I$4:$I$108,0),MATCH($C15,Data!$I$4:$AZ$4,0))/$B15</f>
        <v>290410.34455779003</v>
      </c>
      <c r="J15" s="247">
        <f>$A15*INDEX(Data!$I$4:$AZ$108,MATCH(J$1,Data!$I$4:$I$108,0),MATCH($C15,Data!$I$4:$AZ$4,0))/$B15</f>
        <v>32434761.032316126</v>
      </c>
      <c r="K15" s="245">
        <f>$A15*INDEX(Data!$I$4:$AZ$108,MATCH(K$1,Data!$I$4:$I$108,0),MATCH($C15,Data!$I$4:$AZ$4,0))/$B15</f>
        <v>74300</v>
      </c>
      <c r="L15" s="248">
        <f>$A15*INDEX(Data!$I$4:$AZ$108,MATCH(L$1,Data!$I$4:$I$108,0),MATCH($C15,Data!$I$4:$AZ$4,0))/$B15</f>
        <v>36346.345378214486</v>
      </c>
      <c r="M15" s="247">
        <f>$A15*INDEX(Data!$I$4:$AZ$108,MATCH(M$1,Data!$I$4:$I$108,0),MATCH($C15,Data!$I$4:$AZ$4,0))/$B15</f>
        <v>10737927.572333001</v>
      </c>
      <c r="N15" s="245">
        <f>$A15*INDEX(Data!$I$4:$AZ$108,MATCH(N$1,Data!$I$4:$I$108,0),MATCH($C15,Data!$I$4:$AZ$4,0))/$B15</f>
        <v>18866.518499999976</v>
      </c>
      <c r="O15" s="248">
        <f>$A15*INDEX(Data!$I$4:$AZ$108,MATCH(O$1,Data!$I$4:$I$108,0),MATCH($C15,Data!$I$4:$AZ$4,0))/$B15</f>
        <v>15388.353000000001</v>
      </c>
      <c r="P15" s="247">
        <f>$A15*INDEX(Data!$I$4:$AZ$108,MATCH(P$1,Data!$I$4:$I$108,0),MATCH($C15,Data!$I$4:$AZ$4,0))/$B15</f>
        <v>248223.02099725697</v>
      </c>
      <c r="Q15" s="248">
        <f>$A15*INDEX(Data!$I$4:$AZ$108,MATCH(Q$1,Data!$I$4:$I$108,0),MATCH($C15,Data!$I$4:$AZ$4,0))/$B15</f>
        <v>117760.073</v>
      </c>
    </row>
    <row r="16" spans="1:17" ht="30" customHeight="1">
      <c r="A16" s="384">
        <f>INDEX(Data!$I$4:$AZ$108,MATCH(A$1,Data!$I$4:$I$108,0),MATCH($C16,Data!$I$4:$AZ$4,0))</f>
        <v>1</v>
      </c>
      <c r="B16" s="384">
        <f>IF(INDEX(Data!$I$4:$AZ$108,MATCH(B$1,Data!$I$4:$I$108,0),MATCH($C16,Data!$I$4:$AZ$4,0))=1,1000000,IF(INDEX(Data!$I$4:$AZ$108,MATCH(B$1,Data!$I$4:$I$108,0),MATCH($C16,Data!$I$4:$AZ$4,0))=1000000,1,INDEX(Data!$I$4:$AZ$108,MATCH(B$1,Data!$I$4:$I$108,0),MATCH($C16,Data!$I$4:$AZ$4,0))))</f>
        <v>1</v>
      </c>
      <c r="C16" s="384" t="str">
        <f>+VLOOKUP(E16,'aux - sample'!$A$3:$B$39,2,FALSE)</f>
        <v>DE_COM</v>
      </c>
      <c r="E16" s="242" t="s">
        <v>501</v>
      </c>
      <c r="F16" s="243">
        <f>$A16*INDEX(Data!$I$4:$AZ$108,MATCH(F$1,Data!$I$4:$I$108,0),MATCH($C16,Data!$I$4:$AZ$4,0))/$B16</f>
        <v>655685.6</v>
      </c>
      <c r="G16" s="244">
        <f>$A16*INDEX(Data!$I$4:$AZ$108,MATCH(G$1,Data!$I$4:$I$108,0),MATCH($C16,Data!$I$4:$AZ$4,0))/$B16</f>
        <v>162975.12203953273</v>
      </c>
      <c r="H16" s="245">
        <f>$A16*INDEX(Data!$I$4:$AZ$108,MATCH(H$1,Data!$I$4:$I$108,0),MATCH($C16,Data!$I$4:$AZ$4,0))/$B16</f>
        <v>192094.67046254207</v>
      </c>
      <c r="I16" s="246">
        <f>$A16*INDEX(Data!$I$4:$AZ$108,MATCH(I$1,Data!$I$4:$I$108,0),MATCH($C16,Data!$I$4:$AZ$4,0))/$B16</f>
        <v>78549</v>
      </c>
      <c r="J16" s="247">
        <f>$A16*INDEX(Data!$I$4:$AZ$108,MATCH(J$1,Data!$I$4:$I$108,0),MATCH($C16,Data!$I$4:$AZ$4,0))/$B16</f>
        <v>28472574.364551596</v>
      </c>
      <c r="K16" s="245">
        <f>$A16*INDEX(Data!$I$4:$AZ$108,MATCH(K$1,Data!$I$4:$I$108,0),MATCH($C16,Data!$I$4:$AZ$4,0))/$B16</f>
        <v>76320</v>
      </c>
      <c r="L16" s="248">
        <f>$A16*INDEX(Data!$I$4:$AZ$108,MATCH(L$1,Data!$I$4:$I$108,0),MATCH($C16,Data!$I$4:$AZ$4,0))/$B16</f>
        <v>35873</v>
      </c>
      <c r="M16" s="247">
        <f>$A16*INDEX(Data!$I$4:$AZ$108,MATCH(M$1,Data!$I$4:$I$108,0),MATCH($C16,Data!$I$4:$AZ$4,0))/$B16</f>
        <v>5009289.4371610004</v>
      </c>
      <c r="N16" s="245">
        <f>$A16*INDEX(Data!$I$4:$AZ$108,MATCH(N$1,Data!$I$4:$I$108,0),MATCH($C16,Data!$I$4:$AZ$4,0))/$B16</f>
        <v>49525</v>
      </c>
      <c r="O16" s="248">
        <f>$A16*INDEX(Data!$I$4:$AZ$108,MATCH(O$1,Data!$I$4:$I$108,0),MATCH($C16,Data!$I$4:$AZ$4,0))/$B16</f>
        <v>5722</v>
      </c>
      <c r="P16" s="247">
        <f>$A16*INDEX(Data!$I$4:$AZ$108,MATCH(P$1,Data!$I$4:$I$108,0),MATCH($C16,Data!$I$4:$AZ$4,0))/$B16</f>
        <v>234707</v>
      </c>
      <c r="Q16" s="248">
        <f>$A16*INDEX(Data!$I$4:$AZ$108,MATCH(Q$1,Data!$I$4:$I$108,0),MATCH($C16,Data!$I$4:$AZ$4,0))/$B16</f>
        <v>128949</v>
      </c>
    </row>
    <row r="17" spans="1:17" ht="30" customHeight="1">
      <c r="A17" s="384">
        <f>INDEX(Data!$I$4:$AZ$108,MATCH(A$1,Data!$I$4:$I$108,0),MATCH($C17,Data!$I$4:$AZ$4,0))</f>
        <v>1</v>
      </c>
      <c r="B17" s="384">
        <f>IF(INDEX(Data!$I$4:$AZ$108,MATCH(B$1,Data!$I$4:$I$108,0),MATCH($C17,Data!$I$4:$AZ$4,0))=1,1000000,IF(INDEX(Data!$I$4:$AZ$108,MATCH(B$1,Data!$I$4:$I$108,0),MATCH($C17,Data!$I$4:$AZ$4,0))=1000000,1,INDEX(Data!$I$4:$AZ$108,MATCH(B$1,Data!$I$4:$I$108,0),MATCH($C17,Data!$I$4:$AZ$4,0))))</f>
        <v>1</v>
      </c>
      <c r="C17" s="384" t="str">
        <f>+VLOOKUP(E17,'aux - sample'!$A$3:$B$39,2,FALSE)</f>
        <v>FR_CAG</v>
      </c>
      <c r="E17" s="242" t="s">
        <v>459</v>
      </c>
      <c r="F17" s="243">
        <f>$A17*INDEX(Data!$I$4:$AZ$108,MATCH(F$1,Data!$I$4:$I$108,0),MATCH($C17,Data!$I$4:$AZ$4,0))/$B17</f>
        <v>1723005.5889625901</v>
      </c>
      <c r="G17" s="244">
        <f>$A17*INDEX(Data!$I$4:$AZ$108,MATCH(G$1,Data!$I$4:$I$108,0),MATCH($C17,Data!$I$4:$AZ$4,0))/$B17</f>
        <v>169965.76857090613</v>
      </c>
      <c r="H17" s="245">
        <f>$A17*INDEX(Data!$I$4:$AZ$108,MATCH(H$1,Data!$I$4:$I$108,0),MATCH($C17,Data!$I$4:$AZ$4,0))/$B17</f>
        <v>191824.78312758589</v>
      </c>
      <c r="I17" s="246">
        <f>$A17*INDEX(Data!$I$4:$AZ$108,MATCH(I$1,Data!$I$4:$I$108,0),MATCH($C17,Data!$I$4:$AZ$4,0))/$B17</f>
        <v>261774.08390481849</v>
      </c>
      <c r="J17" s="247">
        <f>$A17*INDEX(Data!$I$4:$AZ$108,MATCH(J$1,Data!$I$4:$I$108,0),MATCH($C17,Data!$I$4:$AZ$4,0))/$B17</f>
        <v>22645227.82505478</v>
      </c>
      <c r="K17" s="245">
        <f>$A17*INDEX(Data!$I$4:$AZ$108,MATCH(K$1,Data!$I$4:$I$108,0),MATCH($C17,Data!$I$4:$AZ$4,0))/$B17</f>
        <v>2353000</v>
      </c>
      <c r="L17" s="248">
        <f>$A17*INDEX(Data!$I$4:$AZ$108,MATCH(L$1,Data!$I$4:$I$108,0),MATCH($C17,Data!$I$4:$AZ$4,0))/$B17</f>
        <v>66712.832550860723</v>
      </c>
      <c r="M17" s="247">
        <f>$A17*INDEX(Data!$I$4:$AZ$108,MATCH(M$1,Data!$I$4:$I$108,0),MATCH($C17,Data!$I$4:$AZ$4,0))/$B17</f>
        <v>13018629.173734199</v>
      </c>
      <c r="N17" s="245">
        <f>$A17*INDEX(Data!$I$4:$AZ$108,MATCH(N$1,Data!$I$4:$I$108,0),MATCH($C17,Data!$I$4:$AZ$4,0))/$B17</f>
        <v>52721.486849131019</v>
      </c>
      <c r="O17" s="248">
        <f>$A17*INDEX(Data!$I$4:$AZ$108,MATCH(O$1,Data!$I$4:$I$108,0),MATCH($C17,Data!$I$4:$AZ$4,0))/$B17</f>
        <v>6566.1748301277212</v>
      </c>
      <c r="P17" s="247">
        <f>$A17*INDEX(Data!$I$4:$AZ$108,MATCH(P$1,Data!$I$4:$I$108,0),MATCH($C17,Data!$I$4:$AZ$4,0))/$B17</f>
        <v>307131.85168362013</v>
      </c>
      <c r="Q17" s="248">
        <f>$A17*INDEX(Data!$I$4:$AZ$108,MATCH(Q$1,Data!$I$4:$I$108,0),MATCH($C17,Data!$I$4:$AZ$4,0))/$B17</f>
        <v>294990.37203666777</v>
      </c>
    </row>
    <row r="18" spans="1:17" ht="30" customHeight="1">
      <c r="A18" s="384">
        <f>INDEX(Data!$I$4:$AZ$108,MATCH(A$1,Data!$I$4:$I$108,0),MATCH($C18,Data!$I$4:$AZ$4,0))</f>
        <v>1</v>
      </c>
      <c r="B18" s="384">
        <f>IF(INDEX(Data!$I$4:$AZ$108,MATCH(B$1,Data!$I$4:$I$108,0),MATCH($C18,Data!$I$4:$AZ$4,0))=1,1000000,IF(INDEX(Data!$I$4:$AZ$108,MATCH(B$1,Data!$I$4:$I$108,0),MATCH($C18,Data!$I$4:$AZ$4,0))=1000000,1,INDEX(Data!$I$4:$AZ$108,MATCH(B$1,Data!$I$4:$I$108,0),MATCH($C18,Data!$I$4:$AZ$4,0))))</f>
        <v>1000</v>
      </c>
      <c r="C18" s="384" t="str">
        <f>+VLOOKUP(E18,'aux - sample'!$A$3:$B$39,2,FALSE)</f>
        <v>FR_CMU</v>
      </c>
      <c r="E18" s="242" t="s">
        <v>461</v>
      </c>
      <c r="F18" s="243">
        <f>$A18*INDEX(Data!$I$4:$AZ$108,MATCH(F$1,Data!$I$4:$I$108,0),MATCH($C18,Data!$I$4:$AZ$4,0))/$B18</f>
        <v>695303.55137687246</v>
      </c>
      <c r="G18" s="244">
        <f>$A18*INDEX(Data!$I$4:$AZ$108,MATCH(G$1,Data!$I$4:$I$108,0),MATCH($C18,Data!$I$4:$AZ$4,0))/$B18</f>
        <v>83507.573571378874</v>
      </c>
      <c r="H18" s="245">
        <f>$A18*INDEX(Data!$I$4:$AZ$108,MATCH(H$1,Data!$I$4:$I$108,0),MATCH($C18,Data!$I$4:$AZ$4,0))/$B18</f>
        <v>50607.025781000601</v>
      </c>
      <c r="I18" s="246">
        <f>$A18*INDEX(Data!$I$4:$AZ$108,MATCH(I$1,Data!$I$4:$I$108,0),MATCH($C18,Data!$I$4:$AZ$4,0))/$B18</f>
        <v>142326.97223869734</v>
      </c>
      <c r="J18" s="247">
        <f>$A18*INDEX(Data!$I$4:$AZ$108,MATCH(J$1,Data!$I$4:$I$108,0),MATCH($C18,Data!$I$4:$AZ$4,0))/$B18</f>
        <v>8889415.5088401809</v>
      </c>
      <c r="K18" s="245">
        <f>$A18*INDEX(Data!$I$4:$AZ$108,MATCH(K$1,Data!$I$4:$I$108,0),MATCH($C18,Data!$I$4:$AZ$4,0))/$B18</f>
        <v>289553.54747082002</v>
      </c>
      <c r="L18" s="248">
        <f>$A18*INDEX(Data!$I$4:$AZ$108,MATCH(L$1,Data!$I$4:$I$108,0),MATCH($C18,Data!$I$4:$AZ$4,0))/$B18</f>
        <v>2453.46</v>
      </c>
      <c r="M18" s="247">
        <f>$A18*INDEX(Data!$I$4:$AZ$108,MATCH(M$1,Data!$I$4:$I$108,0),MATCH($C18,Data!$I$4:$AZ$4,0))/$B18</f>
        <v>611213.09482190898</v>
      </c>
      <c r="N18" s="245">
        <f>$A18*INDEX(Data!$I$4:$AZ$108,MATCH(N$1,Data!$I$4:$I$108,0),MATCH($C18,Data!$I$4:$AZ$4,0))/$B18</f>
        <v>30340.100494127633</v>
      </c>
      <c r="O18" s="248">
        <f>$A18*INDEX(Data!$I$4:$AZ$108,MATCH(O$1,Data!$I$4:$I$108,0),MATCH($C18,Data!$I$4:$AZ$4,0))/$B18</f>
        <v>6997.8938317505299</v>
      </c>
      <c r="P18" s="247">
        <f>$A18*INDEX(Data!$I$4:$AZ$108,MATCH(P$1,Data!$I$4:$I$108,0),MATCH($C18,Data!$I$4:$AZ$4,0))/$B18</f>
        <v>77468.153454999992</v>
      </c>
      <c r="Q18" s="248">
        <f>$A18*INDEX(Data!$I$4:$AZ$108,MATCH(Q$1,Data!$I$4:$I$108,0),MATCH($C18,Data!$I$4:$AZ$4,0))/$B18</f>
        <v>43193.170284755543</v>
      </c>
    </row>
    <row r="19" spans="1:17" ht="30" customHeight="1">
      <c r="A19" s="384">
        <f>INDEX(Data!$I$4:$AZ$108,MATCH(A$1,Data!$I$4:$I$108,0),MATCH($C19,Data!$I$4:$AZ$4,0))</f>
        <v>0.134312922</v>
      </c>
      <c r="B19" s="384">
        <f>IF(INDEX(Data!$I$4:$AZ$108,MATCH(B$1,Data!$I$4:$I$108,0),MATCH($C19,Data!$I$4:$AZ$4,0))=1,1000000,IF(INDEX(Data!$I$4:$AZ$108,MATCH(B$1,Data!$I$4:$I$108,0),MATCH($C19,Data!$I$4:$AZ$4,0))=1000000,1,INDEX(Data!$I$4:$AZ$108,MATCH(B$1,Data!$I$4:$I$108,0),MATCH($C19,Data!$I$4:$AZ$4,0))))</f>
        <v>1</v>
      </c>
      <c r="C19" s="384" t="str">
        <f>+VLOOKUP(E19,'aux - sample'!$A$3:$B$39,2,FALSE)</f>
        <v>DK_DAN</v>
      </c>
      <c r="E19" s="242" t="s">
        <v>463</v>
      </c>
      <c r="F19" s="243">
        <f>$A19*INDEX(Data!$I$4:$AZ$108,MATCH(F$1,Data!$I$4:$I$108,0),MATCH($C19,Data!$I$4:$AZ$4,0))/$B19</f>
        <v>494215.85136634496</v>
      </c>
      <c r="G19" s="244">
        <f>$A19*INDEX(Data!$I$4:$AZ$108,MATCH(G$1,Data!$I$4:$I$108,0),MATCH($C19,Data!$I$4:$AZ$4,0))/$B19</f>
        <v>80384.553274331251</v>
      </c>
      <c r="H19" s="245">
        <f>$A19*INDEX(Data!$I$4:$AZ$108,MATCH(H$1,Data!$I$4:$I$108,0),MATCH($C19,Data!$I$4:$AZ$4,0))/$B19</f>
        <v>15645.749638890598</v>
      </c>
      <c r="I19" s="246">
        <f>$A19*INDEX(Data!$I$4:$AZ$108,MATCH(I$1,Data!$I$4:$I$108,0),MATCH($C19,Data!$I$4:$AZ$4,0))/$B19</f>
        <v>166144.12691892835</v>
      </c>
      <c r="J19" s="247">
        <f>$A19*INDEX(Data!$I$4:$AZ$108,MATCH(J$1,Data!$I$4:$I$108,0),MATCH($C19,Data!$I$4:$AZ$4,0))/$B19</f>
        <v>327370.87031271099</v>
      </c>
      <c r="K19" s="245">
        <f>$A19*INDEX(Data!$I$4:$AZ$108,MATCH(K$1,Data!$I$4:$I$108,0),MATCH($C19,Data!$I$4:$AZ$4,0))/$B19</f>
        <v>87010.597130039998</v>
      </c>
      <c r="L19" s="248">
        <f>$A19*INDEX(Data!$I$4:$AZ$108,MATCH(L$1,Data!$I$4:$I$108,0),MATCH($C19,Data!$I$4:$AZ$4,0))/$B19</f>
        <v>22099.979678252043</v>
      </c>
      <c r="M19" s="247">
        <f>$A19*INDEX(Data!$I$4:$AZ$108,MATCH(M$1,Data!$I$4:$I$108,0),MATCH($C19,Data!$I$4:$AZ$4,0))/$B19</f>
        <v>6285098.104066602</v>
      </c>
      <c r="N19" s="245">
        <f>$A19*INDEX(Data!$I$4:$AZ$108,MATCH(N$1,Data!$I$4:$I$108,0),MATCH($C19,Data!$I$4:$AZ$4,0))/$B19</f>
        <v>2706.9438151020172</v>
      </c>
      <c r="O19" s="248">
        <f>$A19*INDEX(Data!$I$4:$AZ$108,MATCH(O$1,Data!$I$4:$I$108,0),MATCH($C19,Data!$I$4:$AZ$4,0))/$B19</f>
        <v>1033.134996024</v>
      </c>
      <c r="P19" s="247">
        <f>$A19*INDEX(Data!$I$4:$AZ$108,MATCH(P$1,Data!$I$4:$I$108,0),MATCH($C19,Data!$I$4:$AZ$4,0))/$B19</f>
        <v>180527.80915957136</v>
      </c>
      <c r="Q19" s="248">
        <f>$A19*INDEX(Data!$I$4:$AZ$108,MATCH(Q$1,Data!$I$4:$I$108,0),MATCH($C19,Data!$I$4:$AZ$4,0))/$B19</f>
        <v>306374.27322913974</v>
      </c>
    </row>
    <row r="20" spans="1:17" ht="30" customHeight="1">
      <c r="A20" s="384">
        <f>INDEX(Data!$I$4:$AZ$108,MATCH(A$1,Data!$I$4:$I$108,0),MATCH($C20,Data!$I$4:$AZ$4,0))</f>
        <v>1</v>
      </c>
      <c r="B20" s="384">
        <f>IF(INDEX(Data!$I$4:$AZ$108,MATCH(B$1,Data!$I$4:$I$108,0),MATCH($C20,Data!$I$4:$AZ$4,0))=1,1000000,IF(INDEX(Data!$I$4:$AZ$108,MATCH(B$1,Data!$I$4:$I$108,0),MATCH($C20,Data!$I$4:$AZ$4,0))=1000000,1,INDEX(Data!$I$4:$AZ$108,MATCH(B$1,Data!$I$4:$I$108,0),MATCH($C20,Data!$I$4:$AZ$4,0))))</f>
        <v>1</v>
      </c>
      <c r="C20" s="384" t="str">
        <f>+VLOOKUP(E20,'aux - sample'!$A$3:$B$39,2,FALSE)</f>
        <v>DE_DEB</v>
      </c>
      <c r="E20" s="242" t="s">
        <v>503</v>
      </c>
      <c r="F20" s="243">
        <f>$A20*INDEX(Data!$I$4:$AZ$108,MATCH(F$1,Data!$I$4:$I$108,0),MATCH($C20,Data!$I$4:$AZ$4,0))/$B20</f>
        <v>1659337.4266617456</v>
      </c>
      <c r="G20" s="244">
        <f>$A20*INDEX(Data!$I$4:$AZ$108,MATCH(G$1,Data!$I$4:$I$108,0),MATCH($C20,Data!$I$4:$AZ$4,0))/$B20</f>
        <v>256612.8891260348</v>
      </c>
      <c r="H20" s="245">
        <f>$A20*INDEX(Data!$I$4:$AZ$108,MATCH(H$1,Data!$I$4:$I$108,0),MATCH($C20,Data!$I$4:$AZ$4,0))/$B20</f>
        <v>192667.86326144528</v>
      </c>
      <c r="I20" s="246">
        <f>$A20*INDEX(Data!$I$4:$AZ$108,MATCH(I$1,Data!$I$4:$I$108,0),MATCH($C20,Data!$I$4:$AZ$4,0))/$B20</f>
        <v>229542.20710452</v>
      </c>
      <c r="J20" s="247">
        <f>$A20*INDEX(Data!$I$4:$AZ$108,MATCH(J$1,Data!$I$4:$I$108,0),MATCH($C20,Data!$I$4:$AZ$4,0))/$B20</f>
        <v>135495731.89599133</v>
      </c>
      <c r="K20" s="245">
        <f>$A20*INDEX(Data!$I$4:$AZ$108,MATCH(K$1,Data!$I$4:$I$108,0),MATCH($C20,Data!$I$4:$AZ$4,0))/$B20</f>
        <v>2203825.6888694898</v>
      </c>
      <c r="L20" s="248">
        <f>$A20*INDEX(Data!$I$4:$AZ$108,MATCH(L$1,Data!$I$4:$I$108,0),MATCH($C20,Data!$I$4:$AZ$4,0))/$B20</f>
        <v>280100</v>
      </c>
      <c r="M20" s="247">
        <f>$A20*INDEX(Data!$I$4:$AZ$108,MATCH(M$1,Data!$I$4:$I$108,0),MATCH($C20,Data!$I$4:$AZ$4,0))/$B20</f>
        <v>47271160.199587777</v>
      </c>
      <c r="N20" s="245">
        <f>$A20*INDEX(Data!$I$4:$AZ$108,MATCH(N$1,Data!$I$4:$I$108,0),MATCH($C20,Data!$I$4:$AZ$4,0))/$B20</f>
        <v>70196.278216659994</v>
      </c>
      <c r="O20" s="248">
        <f>$A20*INDEX(Data!$I$4:$AZ$108,MATCH(O$1,Data!$I$4:$I$108,0),MATCH($C20,Data!$I$4:$AZ$4,0))/$B20</f>
        <v>28480.571241769998</v>
      </c>
      <c r="P20" s="247">
        <f>$A20*INDEX(Data!$I$4:$AZ$108,MATCH(P$1,Data!$I$4:$I$108,0),MATCH($C20,Data!$I$4:$AZ$4,0))/$B20</f>
        <v>826030.51599999995</v>
      </c>
      <c r="Q20" s="248">
        <f>$A20*INDEX(Data!$I$4:$AZ$108,MATCH(Q$1,Data!$I$4:$I$108,0),MATCH($C20,Data!$I$4:$AZ$4,0))/$B20</f>
        <v>559185.51900000009</v>
      </c>
    </row>
    <row r="21" spans="1:17" ht="30" customHeight="1">
      <c r="A21" s="384">
        <f>INDEX(Data!$I$4:$AZ$108,MATCH(A$1,Data!$I$4:$I$108,0),MATCH($C21,Data!$I$4:$AZ$4,0))</f>
        <v>0.110595001</v>
      </c>
      <c r="B21" s="384">
        <f>IF(INDEX(Data!$I$4:$AZ$108,MATCH(B$1,Data!$I$4:$I$108,0),MATCH($C21,Data!$I$4:$AZ$4,0))=1,1000000,IF(INDEX(Data!$I$4:$AZ$108,MATCH(B$1,Data!$I$4:$I$108,0),MATCH($C21,Data!$I$4:$AZ$4,0))=1000000,1,INDEX(Data!$I$4:$AZ$108,MATCH(B$1,Data!$I$4:$I$108,0),MATCH($C21,Data!$I$4:$AZ$4,0))))</f>
        <v>1000</v>
      </c>
      <c r="C21" s="384" t="str">
        <f>+VLOOKUP(E21,'aux - sample'!$A$3:$B$39,2,FALSE)</f>
        <v>NO_DNB</v>
      </c>
      <c r="E21" s="242" t="s">
        <v>465</v>
      </c>
      <c r="F21" s="243">
        <f>$A21*INDEX(Data!$I$4:$AZ$108,MATCH(F$1,Data!$I$4:$I$108,0),MATCH($C21,Data!$I$4:$AZ$4,0))/$B21</f>
        <v>332370.63327132998</v>
      </c>
      <c r="G21" s="244">
        <f>$A21*INDEX(Data!$I$4:$AZ$108,MATCH(G$1,Data!$I$4:$I$108,0),MATCH($C21,Data!$I$4:$AZ$4,0))/$B21</f>
        <v>53039.476118561492</v>
      </c>
      <c r="H21" s="245">
        <f>$A21*INDEX(Data!$I$4:$AZ$108,MATCH(H$1,Data!$I$4:$I$108,0),MATCH($C21,Data!$I$4:$AZ$4,0))/$B21</f>
        <v>24759.751381169233</v>
      </c>
      <c r="I21" s="246">
        <f>$A21*INDEX(Data!$I$4:$AZ$108,MATCH(I$1,Data!$I$4:$I$108,0),MATCH($C21,Data!$I$4:$AZ$4,0))/$B21</f>
        <v>91214.657863389846</v>
      </c>
      <c r="J21" s="247">
        <f>$A21*INDEX(Data!$I$4:$AZ$108,MATCH(J$1,Data!$I$4:$I$108,0),MATCH($C21,Data!$I$4:$AZ$4,0))/$B21</f>
        <v>7448913.8067882126</v>
      </c>
      <c r="K21" s="245">
        <f>$A21*INDEX(Data!$I$4:$AZ$108,MATCH(K$1,Data!$I$4:$I$108,0),MATCH($C21,Data!$I$4:$AZ$4,0))/$B21</f>
        <v>155607.16640700001</v>
      </c>
      <c r="L21" s="248">
        <f>$A21*INDEX(Data!$I$4:$AZ$108,MATCH(L$1,Data!$I$4:$I$108,0),MATCH($C21,Data!$I$4:$AZ$4,0))/$B21</f>
        <v>16480.800913209401</v>
      </c>
      <c r="M21" s="247">
        <f>$A21*INDEX(Data!$I$4:$AZ$108,MATCH(M$1,Data!$I$4:$I$108,0),MATCH($C21,Data!$I$4:$AZ$4,0))/$B21</f>
        <v>814703.8951194291</v>
      </c>
      <c r="N21" s="245">
        <f>$A21*INDEX(Data!$I$4:$AZ$108,MATCH(N$1,Data!$I$4:$I$108,0),MATCH($C21,Data!$I$4:$AZ$4,0))/$B21</f>
        <v>2176.1496520846781</v>
      </c>
      <c r="O21" s="248">
        <f>$A21*INDEX(Data!$I$4:$AZ$108,MATCH(O$1,Data!$I$4:$I$108,0),MATCH($C21,Data!$I$4:$AZ$4,0))/$B21</f>
        <v>12070.906314470134</v>
      </c>
      <c r="P21" s="247">
        <f>$A21*INDEX(Data!$I$4:$AZ$108,MATCH(P$1,Data!$I$4:$I$108,0),MATCH($C21,Data!$I$4:$AZ$4,0))/$B21</f>
        <v>122208.913840013</v>
      </c>
      <c r="Q21" s="248">
        <f>$A21*INDEX(Data!$I$4:$AZ$108,MATCH(Q$1,Data!$I$4:$I$108,0),MATCH($C21,Data!$I$4:$AZ$4,0))/$B21</f>
        <v>89258.891973768899</v>
      </c>
    </row>
    <row r="22" spans="1:17" ht="30" customHeight="1">
      <c r="A22" s="384">
        <f>INDEX(Data!$I$4:$AZ$108,MATCH(A$1,Data!$I$4:$I$108,0),MATCH($C22,Data!$I$4:$AZ$4,0))</f>
        <v>1</v>
      </c>
      <c r="B22" s="384">
        <f>IF(INDEX(Data!$I$4:$AZ$108,MATCH(B$1,Data!$I$4:$I$108,0),MATCH($C22,Data!$I$4:$AZ$4,0))=1,1000000,IF(INDEX(Data!$I$4:$AZ$108,MATCH(B$1,Data!$I$4:$I$108,0),MATCH($C22,Data!$I$4:$AZ$4,0))=1000000,1,INDEX(Data!$I$4:$AZ$108,MATCH(B$1,Data!$I$4:$I$108,0),MATCH($C22,Data!$I$4:$AZ$4,0))))</f>
        <v>1000000</v>
      </c>
      <c r="C22" s="384" t="str">
        <f>+VLOOKUP(E22,'aux - sample'!$A$3:$B$39,2,FALSE)</f>
        <v>DE_DZB</v>
      </c>
      <c r="E22" s="242" t="s">
        <v>505</v>
      </c>
      <c r="F22" s="243">
        <f>$A22*INDEX(Data!$I$4:$AZ$108,MATCH(F$1,Data!$I$4:$I$108,0),MATCH($C22,Data!$I$4:$AZ$4,0))/$B22</f>
        <v>355518.68718637089</v>
      </c>
      <c r="G22" s="244">
        <f>$A22*INDEX(Data!$I$4:$AZ$108,MATCH(G$1,Data!$I$4:$I$108,0),MATCH($C22,Data!$I$4:$AZ$4,0))/$B22</f>
        <v>141834.12806160434</v>
      </c>
      <c r="H22" s="245">
        <f>$A22*INDEX(Data!$I$4:$AZ$108,MATCH(H$1,Data!$I$4:$I$108,0),MATCH($C22,Data!$I$4:$AZ$4,0))/$B22</f>
        <v>119363.46923570333</v>
      </c>
      <c r="I22" s="246">
        <f>$A22*INDEX(Data!$I$4:$AZ$108,MATCH(I$1,Data!$I$4:$I$108,0),MATCH($C22,Data!$I$4:$AZ$4,0))/$B22</f>
        <v>87103.793563304236</v>
      </c>
      <c r="J22" s="247">
        <f>$A22*INDEX(Data!$I$4:$AZ$108,MATCH(J$1,Data!$I$4:$I$108,0),MATCH($C22,Data!$I$4:$AZ$4,0))/$B22</f>
        <v>4687097.4666340249</v>
      </c>
      <c r="K22" s="245">
        <f>$A22*INDEX(Data!$I$4:$AZ$108,MATCH(K$1,Data!$I$4:$I$108,0),MATCH($C22,Data!$I$4:$AZ$4,0))/$B22</f>
        <v>634806.98799107003</v>
      </c>
      <c r="L22" s="248">
        <f>$A22*INDEX(Data!$I$4:$AZ$108,MATCH(L$1,Data!$I$4:$I$108,0),MATCH($C22,Data!$I$4:$AZ$4,0))/$B22</f>
        <v>20478.41</v>
      </c>
      <c r="M22" s="247">
        <f>$A22*INDEX(Data!$I$4:$AZ$108,MATCH(M$1,Data!$I$4:$I$108,0),MATCH($C22,Data!$I$4:$AZ$4,0))/$B22</f>
        <v>856835.25528007012</v>
      </c>
      <c r="N22" s="245">
        <f>$A22*INDEX(Data!$I$4:$AZ$108,MATCH(N$1,Data!$I$4:$I$108,0),MATCH($C22,Data!$I$4:$AZ$4,0))/$B22</f>
        <v>30933.791963</v>
      </c>
      <c r="O22" s="248">
        <f>$A22*INDEX(Data!$I$4:$AZ$108,MATCH(O$1,Data!$I$4:$I$108,0),MATCH($C22,Data!$I$4:$AZ$4,0))/$B22</f>
        <v>3747.1109540000002</v>
      </c>
      <c r="P22" s="247">
        <f>$A22*INDEX(Data!$I$4:$AZ$108,MATCH(P$1,Data!$I$4:$I$108,0),MATCH($C22,Data!$I$4:$AZ$4,0))/$B22</f>
        <v>80184.949819720001</v>
      </c>
      <c r="Q22" s="248">
        <f>$A22*INDEX(Data!$I$4:$AZ$108,MATCH(Q$1,Data!$I$4:$I$108,0),MATCH($C22,Data!$I$4:$AZ$4,0))/$B22</f>
        <v>27604.445866120001</v>
      </c>
    </row>
    <row r="23" spans="1:17" ht="30" customHeight="1">
      <c r="A23" s="384">
        <f>INDEX(Data!$I$4:$AZ$108,MATCH(A$1,Data!$I$4:$I$108,0),MATCH($C23,Data!$I$4:$AZ$4,0))</f>
        <v>1</v>
      </c>
      <c r="B23" s="384">
        <f>IF(INDEX(Data!$I$4:$AZ$108,MATCH(B$1,Data!$I$4:$I$108,0),MATCH($C23,Data!$I$4:$AZ$4,0))=1,1000000,IF(INDEX(Data!$I$4:$AZ$108,MATCH(B$1,Data!$I$4:$I$108,0),MATCH($C23,Data!$I$4:$AZ$4,0))=1000000,1,INDEX(Data!$I$4:$AZ$108,MATCH(B$1,Data!$I$4:$I$108,0),MATCH($C23,Data!$I$4:$AZ$4,0))))</f>
        <v>1</v>
      </c>
      <c r="C23" s="384" t="str">
        <f>+VLOOKUP(E23,'aux - sample'!$A$3:$B$39,2,FALSE)</f>
        <v>AT_ERS</v>
      </c>
      <c r="E23" s="242" t="s">
        <v>466</v>
      </c>
      <c r="F23" s="243">
        <f>$A23*INDEX(Data!$I$4:$AZ$108,MATCH(F$1,Data!$I$4:$I$108,0),MATCH($C23,Data!$I$4:$AZ$4,0))/$B23</f>
        <v>219007.88699999999</v>
      </c>
      <c r="G23" s="244">
        <f>$A23*INDEX(Data!$I$4:$AZ$108,MATCH(G$1,Data!$I$4:$I$108,0),MATCH($C23,Data!$I$4:$AZ$4,0))/$B23</f>
        <v>20338.735799999999</v>
      </c>
      <c r="H23" s="245">
        <f>$A23*INDEX(Data!$I$4:$AZ$108,MATCH(H$1,Data!$I$4:$I$108,0),MATCH($C23,Data!$I$4:$AZ$4,0))/$B23</f>
        <v>23339.547600000002</v>
      </c>
      <c r="I23" s="246">
        <f>$A23*INDEX(Data!$I$4:$AZ$108,MATCH(I$1,Data!$I$4:$I$108,0),MATCH($C23,Data!$I$4:$AZ$4,0))/$B23</f>
        <v>39447.939400000003</v>
      </c>
      <c r="J23" s="247">
        <f>$A23*INDEX(Data!$I$4:$AZ$108,MATCH(J$1,Data!$I$4:$I$108,0),MATCH($C23,Data!$I$4:$AZ$4,0))/$B23</f>
        <v>6934584.4781486355</v>
      </c>
      <c r="K23" s="245">
        <f>$A23*INDEX(Data!$I$4:$AZ$108,MATCH(K$1,Data!$I$4:$I$108,0),MATCH($C23,Data!$I$4:$AZ$4,0))/$B23</f>
        <v>190871</v>
      </c>
      <c r="L23" s="248">
        <f>$A23*INDEX(Data!$I$4:$AZ$108,MATCH(L$1,Data!$I$4:$I$108,0),MATCH($C23,Data!$I$4:$AZ$4,0))/$B23</f>
        <v>0</v>
      </c>
      <c r="M23" s="247">
        <f>$A23*INDEX(Data!$I$4:$AZ$108,MATCH(M$1,Data!$I$4:$I$108,0),MATCH($C23,Data!$I$4:$AZ$4,0))/$B23</f>
        <v>227489</v>
      </c>
      <c r="N23" s="245">
        <f>$A23*INDEX(Data!$I$4:$AZ$108,MATCH(N$1,Data!$I$4:$I$108,0),MATCH($C23,Data!$I$4:$AZ$4,0))/$B23</f>
        <v>9748</v>
      </c>
      <c r="O23" s="248">
        <f>$A23*INDEX(Data!$I$4:$AZ$108,MATCH(O$1,Data!$I$4:$I$108,0),MATCH($C23,Data!$I$4:$AZ$4,0))/$B23</f>
        <v>602</v>
      </c>
      <c r="P23" s="247">
        <f>$A23*INDEX(Data!$I$4:$AZ$108,MATCH(P$1,Data!$I$4:$I$108,0),MATCH($C23,Data!$I$4:$AZ$4,0))/$B23</f>
        <v>100947</v>
      </c>
      <c r="Q23" s="248">
        <f>$A23*INDEX(Data!$I$4:$AZ$108,MATCH(Q$1,Data!$I$4:$I$108,0),MATCH($C23,Data!$I$4:$AZ$4,0))/$B23</f>
        <v>93704.210900000005</v>
      </c>
    </row>
    <row r="24" spans="1:17" ht="30" customHeight="1">
      <c r="A24" s="384">
        <f>INDEX(Data!$I$4:$AZ$108,MATCH(A$1,Data!$I$4:$I$108,0),MATCH($C24,Data!$I$4:$AZ$4,0))</f>
        <v>0.106462259</v>
      </c>
      <c r="B24" s="384">
        <f>IF(INDEX(Data!$I$4:$AZ$108,MATCH(B$1,Data!$I$4:$I$108,0),MATCH($C24,Data!$I$4:$AZ$4,0))=1,1000000,IF(INDEX(Data!$I$4:$AZ$108,MATCH(B$1,Data!$I$4:$I$108,0),MATCH($C24,Data!$I$4:$AZ$4,0))=1000000,1,INDEX(Data!$I$4:$AZ$108,MATCH(B$1,Data!$I$4:$I$108,0),MATCH($C24,Data!$I$4:$AZ$4,0))))</f>
        <v>1000</v>
      </c>
      <c r="C24" s="384" t="str">
        <f>+VLOOKUP(E24,'aux - sample'!$A$3:$B$39,2,FALSE)</f>
        <v>SE_HAN</v>
      </c>
      <c r="E24" s="242" t="s">
        <v>469</v>
      </c>
      <c r="F24" s="243">
        <f>$A24*INDEX(Data!$I$4:$AZ$108,MATCH(F$1,Data!$I$4:$I$108,0),MATCH($C24,Data!$I$4:$AZ$4,0))/$B24</f>
        <v>334417.22726097272</v>
      </c>
      <c r="G24" s="244">
        <f>$A24*INDEX(Data!$I$4:$AZ$108,MATCH(G$1,Data!$I$4:$I$108,0),MATCH($C24,Data!$I$4:$AZ$4,0))/$B24</f>
        <v>25767.966798084453</v>
      </c>
      <c r="H24" s="245">
        <f>$A24*INDEX(Data!$I$4:$AZ$108,MATCH(H$1,Data!$I$4:$I$108,0),MATCH($C24,Data!$I$4:$AZ$4,0))/$B24</f>
        <v>44297.033761172861</v>
      </c>
      <c r="I24" s="246">
        <f>$A24*INDEX(Data!$I$4:$AZ$108,MATCH(I$1,Data!$I$4:$I$108,0),MATCH($C24,Data!$I$4:$AZ$4,0))/$B24</f>
        <v>157075.07859153967</v>
      </c>
      <c r="J24" s="247">
        <f>$A24*INDEX(Data!$I$4:$AZ$108,MATCH(J$1,Data!$I$4:$I$108,0),MATCH($C24,Data!$I$4:$AZ$4,0))/$B24</f>
        <v>10942048.072190708</v>
      </c>
      <c r="K24" s="245">
        <f>$A24*INDEX(Data!$I$4:$AZ$108,MATCH(K$1,Data!$I$4:$I$108,0),MATCH($C24,Data!$I$4:$AZ$4,0))/$B24</f>
        <v>169594.37858700001</v>
      </c>
      <c r="L24" s="248">
        <f>$A24*INDEX(Data!$I$4:$AZ$108,MATCH(L$1,Data!$I$4:$I$108,0),MATCH($C24,Data!$I$4:$AZ$4,0))/$B24</f>
        <v>540.15660532796903</v>
      </c>
      <c r="M24" s="247">
        <f>$A24*INDEX(Data!$I$4:$AZ$108,MATCH(M$1,Data!$I$4:$I$108,0),MATCH($C24,Data!$I$4:$AZ$4,0))/$B24</f>
        <v>677759.35965908726</v>
      </c>
      <c r="N24" s="245">
        <f>$A24*INDEX(Data!$I$4:$AZ$108,MATCH(N$1,Data!$I$4:$I$108,0),MATCH($C24,Data!$I$4:$AZ$4,0))/$B24</f>
        <v>6497.2741324360641</v>
      </c>
      <c r="O24" s="248">
        <f>$A24*INDEX(Data!$I$4:$AZ$108,MATCH(O$1,Data!$I$4:$I$108,0),MATCH($C24,Data!$I$4:$AZ$4,0))/$B24</f>
        <v>170.55807495546802</v>
      </c>
      <c r="P24" s="247">
        <f>$A24*INDEX(Data!$I$4:$AZ$108,MATCH(P$1,Data!$I$4:$I$108,0),MATCH($C24,Data!$I$4:$AZ$4,0))/$B24</f>
        <v>135564.57643515564</v>
      </c>
      <c r="Q24" s="248">
        <f>$A24*INDEX(Data!$I$4:$AZ$108,MATCH(Q$1,Data!$I$4:$I$108,0),MATCH($C24,Data!$I$4:$AZ$4,0))/$B24</f>
        <v>81016.097208232313</v>
      </c>
    </row>
    <row r="25" spans="1:17" ht="30" customHeight="1">
      <c r="A25" s="384">
        <f>INDEX(Data!$I$4:$AZ$108,MATCH(A$1,Data!$I$4:$I$108,0),MATCH($C25,Data!$I$4:$AZ$4,0))</f>
        <v>1</v>
      </c>
      <c r="B25" s="384">
        <f>IF(INDEX(Data!$I$4:$AZ$108,MATCH(B$1,Data!$I$4:$I$108,0),MATCH($C25,Data!$I$4:$AZ$4,0))=1,1000000,IF(INDEX(Data!$I$4:$AZ$108,MATCH(B$1,Data!$I$4:$I$108,0),MATCH($C25,Data!$I$4:$AZ$4,0))=1000000,1,INDEX(Data!$I$4:$AZ$108,MATCH(B$1,Data!$I$4:$I$108,0),MATCH($C25,Data!$I$4:$AZ$4,0))))</f>
        <v>1000000</v>
      </c>
      <c r="C25" s="384" t="str">
        <f>+VLOOKUP(E25,'aux - sample'!$A$3:$B$39,2,FALSE)</f>
        <v>DE_HLB</v>
      </c>
      <c r="E25" s="242" t="s">
        <v>507</v>
      </c>
      <c r="F25" s="243">
        <f>$A25*INDEX(Data!$I$4:$AZ$108,MATCH(F$1,Data!$I$4:$I$108,0),MATCH($C25,Data!$I$4:$AZ$4,0))/$B25</f>
        <v>198878.45577728952</v>
      </c>
      <c r="G25" s="244">
        <f>$A25*INDEX(Data!$I$4:$AZ$108,MATCH(G$1,Data!$I$4:$I$108,0),MATCH($C25,Data!$I$4:$AZ$4,0))/$B25</f>
        <v>56998.971618690004</v>
      </c>
      <c r="H25" s="245">
        <f>$A25*INDEX(Data!$I$4:$AZ$108,MATCH(H$1,Data!$I$4:$I$108,0),MATCH($C25,Data!$I$4:$AZ$4,0))/$B25</f>
        <v>85462.608150140004</v>
      </c>
      <c r="I25" s="246">
        <f>$A25*INDEX(Data!$I$4:$AZ$108,MATCH(I$1,Data!$I$4:$I$108,0),MATCH($C25,Data!$I$4:$AZ$4,0))/$B25</f>
        <v>55506.339475150002</v>
      </c>
      <c r="J25" s="247">
        <f>$A25*INDEX(Data!$I$4:$AZ$108,MATCH(J$1,Data!$I$4:$I$108,0),MATCH($C25,Data!$I$4:$AZ$4,0))/$B25</f>
        <v>3159307.1994127496</v>
      </c>
      <c r="K25" s="245">
        <f>$A25*INDEX(Data!$I$4:$AZ$108,MATCH(K$1,Data!$I$4:$I$108,0),MATCH($C25,Data!$I$4:$AZ$4,0))/$B25</f>
        <v>130600</v>
      </c>
      <c r="L25" s="248">
        <f>$A25*INDEX(Data!$I$4:$AZ$108,MATCH(L$1,Data!$I$4:$I$108,0),MATCH($C25,Data!$I$4:$AZ$4,0))/$B25</f>
        <v>4577.3613329999998</v>
      </c>
      <c r="M25" s="247">
        <f>$A25*INDEX(Data!$I$4:$AZ$108,MATCH(M$1,Data!$I$4:$I$108,0),MATCH($C25,Data!$I$4:$AZ$4,0))/$B25</f>
        <v>556451.11435799999</v>
      </c>
      <c r="N25" s="245">
        <f>$A25*INDEX(Data!$I$4:$AZ$108,MATCH(N$1,Data!$I$4:$I$108,0),MATCH($C25,Data!$I$4:$AZ$4,0))/$B25</f>
        <v>28181.844601434601</v>
      </c>
      <c r="O25" s="248">
        <f>$A25*INDEX(Data!$I$4:$AZ$108,MATCH(O$1,Data!$I$4:$I$108,0),MATCH($C25,Data!$I$4:$AZ$4,0))/$B25</f>
        <v>855.18222775000004</v>
      </c>
      <c r="P25" s="247">
        <f>$A25*INDEX(Data!$I$4:$AZ$108,MATCH(P$1,Data!$I$4:$I$108,0),MATCH($C25,Data!$I$4:$AZ$4,0))/$B25</f>
        <v>49210.553</v>
      </c>
      <c r="Q25" s="248">
        <f>$A25*INDEX(Data!$I$4:$AZ$108,MATCH(Q$1,Data!$I$4:$I$108,0),MATCH($C25,Data!$I$4:$AZ$4,0))/$B25</f>
        <v>9808.8349999999991</v>
      </c>
    </row>
    <row r="26" spans="1:17" ht="30" customHeight="1">
      <c r="A26" s="384">
        <f>INDEX(Data!$I$4:$AZ$108,MATCH(A$1,Data!$I$4:$I$108,0),MATCH($C26,Data!$I$4:$AZ$4,0))</f>
        <v>0.82365538299999996</v>
      </c>
      <c r="B26" s="384">
        <f>IF(INDEX(Data!$I$4:$AZ$108,MATCH(B$1,Data!$I$4:$I$108,0),MATCH($C26,Data!$I$4:$AZ$4,0))=1,1000000,IF(INDEX(Data!$I$4:$AZ$108,MATCH(B$1,Data!$I$4:$I$108,0),MATCH($C26,Data!$I$4:$AZ$4,0))=1000000,1,INDEX(Data!$I$4:$AZ$108,MATCH(B$1,Data!$I$4:$I$108,0),MATCH($C26,Data!$I$4:$AZ$4,0))))</f>
        <v>1</v>
      </c>
      <c r="C26" s="384" t="str">
        <f>+VLOOKUP(E26,'aux - sample'!$A$3:$B$39,2,FALSE)</f>
        <v>UK_HSB</v>
      </c>
      <c r="E26" s="242" t="s">
        <v>471</v>
      </c>
      <c r="F26" s="243">
        <f>$A26*INDEX(Data!$I$4:$AZ$108,MATCH(F$1,Data!$I$4:$I$108,0),MATCH($C26,Data!$I$4:$AZ$4,0))/$B26</f>
        <v>2679723.7473253459</v>
      </c>
      <c r="G26" s="244">
        <f>$A26*INDEX(Data!$I$4:$AZ$108,MATCH(G$1,Data!$I$4:$I$108,0),MATCH($C26,Data!$I$4:$AZ$4,0))/$B26</f>
        <v>275978.09090489498</v>
      </c>
      <c r="H26" s="245">
        <f>$A26*INDEX(Data!$I$4:$AZ$108,MATCH(H$1,Data!$I$4:$I$108,0),MATCH($C26,Data!$I$4:$AZ$4,0))/$B26</f>
        <v>328865.00304732501</v>
      </c>
      <c r="I26" s="246">
        <f>$A26*INDEX(Data!$I$4:$AZ$108,MATCH(I$1,Data!$I$4:$I$108,0),MATCH($C26,Data!$I$4:$AZ$4,0))/$B26</f>
        <v>343689.15263055899</v>
      </c>
      <c r="J26" s="247">
        <f>$A26*INDEX(Data!$I$4:$AZ$108,MATCH(J$1,Data!$I$4:$I$108,0),MATCH($C26,Data!$I$4:$AZ$4,0))/$B26</f>
        <v>73504639.543566108</v>
      </c>
      <c r="K26" s="245">
        <f>$A26*INDEX(Data!$I$4:$AZ$108,MATCH(K$1,Data!$I$4:$I$108,0),MATCH($C26,Data!$I$4:$AZ$4,0))/$B26</f>
        <v>5246025.8654036</v>
      </c>
      <c r="L26" s="248">
        <f>$A26*INDEX(Data!$I$4:$AZ$108,MATCH(L$1,Data!$I$4:$I$108,0),MATCH($C26,Data!$I$4:$AZ$4,0))/$B26</f>
        <v>354704.719722801</v>
      </c>
      <c r="M26" s="247">
        <f>$A26*INDEX(Data!$I$4:$AZ$108,MATCH(M$1,Data!$I$4:$I$108,0),MATCH($C26,Data!$I$4:$AZ$4,0))/$B26</f>
        <v>22476199.665309582</v>
      </c>
      <c r="N26" s="245">
        <f>$A26*INDEX(Data!$I$4:$AZ$108,MATCH(N$1,Data!$I$4:$I$108,0),MATCH($C26,Data!$I$4:$AZ$4,0))/$B26</f>
        <v>48417.758034271996</v>
      </c>
      <c r="O26" s="248">
        <f>$A26*INDEX(Data!$I$4:$AZ$108,MATCH(O$1,Data!$I$4:$I$108,0),MATCH($C26,Data!$I$4:$AZ$4,0))/$B26</f>
        <v>14522.691713056</v>
      </c>
      <c r="P26" s="247">
        <f>$A26*INDEX(Data!$I$4:$AZ$108,MATCH(P$1,Data!$I$4:$I$108,0),MATCH($C26,Data!$I$4:$AZ$4,0))/$B26</f>
        <v>1279307.3064632809</v>
      </c>
      <c r="Q26" s="248">
        <f>$A26*INDEX(Data!$I$4:$AZ$108,MATCH(Q$1,Data!$I$4:$I$108,0),MATCH($C26,Data!$I$4:$AZ$4,0))/$B26</f>
        <v>1254072.97649431</v>
      </c>
    </row>
    <row r="27" spans="1:17" ht="30" customHeight="1">
      <c r="A27" s="384">
        <f>INDEX(Data!$I$4:$AZ$108,MATCH(A$1,Data!$I$4:$I$108,0),MATCH($C27,Data!$I$4:$AZ$4,0))</f>
        <v>1</v>
      </c>
      <c r="B27" s="384">
        <f>IF(INDEX(Data!$I$4:$AZ$108,MATCH(B$1,Data!$I$4:$I$108,0),MATCH($C27,Data!$I$4:$AZ$4,0))=1,1000000,IF(INDEX(Data!$I$4:$AZ$108,MATCH(B$1,Data!$I$4:$I$108,0),MATCH($C27,Data!$I$4:$AZ$4,0))=1000000,1,INDEX(Data!$I$4:$AZ$108,MATCH(B$1,Data!$I$4:$I$108,0),MATCH($C27,Data!$I$4:$AZ$4,0))))</f>
        <v>1</v>
      </c>
      <c r="C27" s="384" t="str">
        <f>+VLOOKUP(E27,'aux - sample'!$A$3:$B$39,2,FALSE)</f>
        <v>NL_ING</v>
      </c>
      <c r="E27" s="242" t="s">
        <v>473</v>
      </c>
      <c r="F27" s="243">
        <f>$A27*INDEX(Data!$I$4:$AZ$108,MATCH(F$1,Data!$I$4:$I$108,0),MATCH($C27,Data!$I$4:$AZ$4,0))/$B27</f>
        <v>1163853.3999999999</v>
      </c>
      <c r="G27" s="244">
        <f>$A27*INDEX(Data!$I$4:$AZ$108,MATCH(G$1,Data!$I$4:$I$108,0),MATCH($C27,Data!$I$4:$AZ$4,0))/$B27</f>
        <v>108188</v>
      </c>
      <c r="H27" s="245">
        <f>$A27*INDEX(Data!$I$4:$AZ$108,MATCH(H$1,Data!$I$4:$I$108,0),MATCH($C27,Data!$I$4:$AZ$4,0))/$B27</f>
        <v>103564</v>
      </c>
      <c r="I27" s="246">
        <f>$A27*INDEX(Data!$I$4:$AZ$108,MATCH(I$1,Data!$I$4:$I$108,0),MATCH($C27,Data!$I$4:$AZ$4,0))/$B27</f>
        <v>137374</v>
      </c>
      <c r="J27" s="247">
        <f>$A27*INDEX(Data!$I$4:$AZ$108,MATCH(J$1,Data!$I$4:$I$108,0),MATCH($C27,Data!$I$4:$AZ$4,0))/$B27</f>
        <v>20698585.693227395</v>
      </c>
      <c r="K27" s="245">
        <f>$A27*INDEX(Data!$I$4:$AZ$108,MATCH(K$1,Data!$I$4:$I$108,0),MATCH($C27,Data!$I$4:$AZ$4,0))/$B27</f>
        <v>163305</v>
      </c>
      <c r="L27" s="248">
        <f>$A27*INDEX(Data!$I$4:$AZ$108,MATCH(L$1,Data!$I$4:$I$108,0),MATCH($C27,Data!$I$4:$AZ$4,0))/$B27</f>
        <v>24869</v>
      </c>
      <c r="M27" s="247">
        <f>$A27*INDEX(Data!$I$4:$AZ$108,MATCH(M$1,Data!$I$4:$I$108,0),MATCH($C27,Data!$I$4:$AZ$4,0))/$B27</f>
        <v>3548041</v>
      </c>
      <c r="N27" s="245">
        <f>$A27*INDEX(Data!$I$4:$AZ$108,MATCH(N$1,Data!$I$4:$I$108,0),MATCH($C27,Data!$I$4:$AZ$4,0))/$B27</f>
        <v>21129</v>
      </c>
      <c r="O27" s="248">
        <f>$A27*INDEX(Data!$I$4:$AZ$108,MATCH(O$1,Data!$I$4:$I$108,0),MATCH($C27,Data!$I$4:$AZ$4,0))/$B27</f>
        <v>1603</v>
      </c>
      <c r="P27" s="247">
        <f>$A27*INDEX(Data!$I$4:$AZ$108,MATCH(P$1,Data!$I$4:$I$108,0),MATCH($C27,Data!$I$4:$AZ$4,0))/$B27</f>
        <v>490600</v>
      </c>
      <c r="Q27" s="248">
        <f>$A27*INDEX(Data!$I$4:$AZ$108,MATCH(Q$1,Data!$I$4:$I$108,0),MATCH($C27,Data!$I$4:$AZ$4,0))/$B27</f>
        <v>436487</v>
      </c>
    </row>
    <row r="28" spans="1:17" ht="30" customHeight="1">
      <c r="A28" s="384">
        <f>INDEX(Data!$I$4:$AZ$108,MATCH(A$1,Data!$I$4:$I$108,0),MATCH($C28,Data!$I$4:$AZ$4,0))</f>
        <v>1</v>
      </c>
      <c r="B28" s="384">
        <f>IF(INDEX(Data!$I$4:$AZ$108,MATCH(B$1,Data!$I$4:$I$108,0),MATCH($C28,Data!$I$4:$AZ$4,0))=1,1000000,IF(INDEX(Data!$I$4:$AZ$108,MATCH(B$1,Data!$I$4:$I$108,0),MATCH($C28,Data!$I$4:$AZ$4,0))=1000000,1,INDEX(Data!$I$4:$AZ$108,MATCH(B$1,Data!$I$4:$I$108,0),MATCH($C28,Data!$I$4:$AZ$4,0))))</f>
        <v>1000</v>
      </c>
      <c r="C28" s="384" t="str">
        <f>+VLOOKUP(E28,'aux - sample'!$A$3:$B$39,2,FALSE)</f>
        <v>IT_INT</v>
      </c>
      <c r="E28" s="242" t="s">
        <v>474</v>
      </c>
      <c r="F28" s="243">
        <f>$A28*INDEX(Data!$I$4:$AZ$108,MATCH(F$1,Data!$I$4:$I$108,0),MATCH($C28,Data!$I$4:$AZ$4,0))/$B28</f>
        <v>695873.05279999995</v>
      </c>
      <c r="G28" s="244">
        <f>$A28*INDEX(Data!$I$4:$AZ$108,MATCH(G$1,Data!$I$4:$I$108,0),MATCH($C28,Data!$I$4:$AZ$4,0))/$B28</f>
        <v>104846.25757277828</v>
      </c>
      <c r="H28" s="245">
        <f>$A28*INDEX(Data!$I$4:$AZ$108,MATCH(H$1,Data!$I$4:$I$108,0),MATCH($C28,Data!$I$4:$AZ$4,0))/$B28</f>
        <v>73097.549928273671</v>
      </c>
      <c r="I28" s="246">
        <f>$A28*INDEX(Data!$I$4:$AZ$108,MATCH(I$1,Data!$I$4:$I$108,0),MATCH($C28,Data!$I$4:$AZ$4,0))/$B28</f>
        <v>172045.0602267099</v>
      </c>
      <c r="J28" s="247">
        <f>$A28*INDEX(Data!$I$4:$AZ$108,MATCH(J$1,Data!$I$4:$I$108,0),MATCH($C28,Data!$I$4:$AZ$4,0))/$B28</f>
        <v>10162252.837274386</v>
      </c>
      <c r="K28" s="245">
        <f>$A28*INDEX(Data!$I$4:$AZ$108,MATCH(K$1,Data!$I$4:$I$108,0),MATCH($C28,Data!$I$4:$AZ$4,0))/$B28</f>
        <v>444164.58199999999</v>
      </c>
      <c r="L28" s="248">
        <f>$A28*INDEX(Data!$I$4:$AZ$108,MATCH(L$1,Data!$I$4:$I$108,0),MATCH($C28,Data!$I$4:$AZ$4,0))/$B28</f>
        <v>26707.138421</v>
      </c>
      <c r="M28" s="247">
        <f>$A28*INDEX(Data!$I$4:$AZ$108,MATCH(M$1,Data!$I$4:$I$108,0),MATCH($C28,Data!$I$4:$AZ$4,0))/$B28</f>
        <v>2432326.0989999999</v>
      </c>
      <c r="N28" s="245">
        <f>$A28*INDEX(Data!$I$4:$AZ$108,MATCH(N$1,Data!$I$4:$I$108,0),MATCH($C28,Data!$I$4:$AZ$4,0))/$B28</f>
        <v>20124.129108237215</v>
      </c>
      <c r="O28" s="248">
        <f>$A28*INDEX(Data!$I$4:$AZ$108,MATCH(O$1,Data!$I$4:$I$108,0),MATCH($C28,Data!$I$4:$AZ$4,0))/$B28</f>
        <v>6128.0609999999997</v>
      </c>
      <c r="P28" s="247">
        <f>$A28*INDEX(Data!$I$4:$AZ$108,MATCH(P$1,Data!$I$4:$I$108,0),MATCH($C28,Data!$I$4:$AZ$4,0))/$B28</f>
        <v>119438</v>
      </c>
      <c r="Q28" s="248">
        <f>$A28*INDEX(Data!$I$4:$AZ$108,MATCH(Q$1,Data!$I$4:$I$108,0),MATCH($C28,Data!$I$4:$AZ$4,0))/$B28</f>
        <v>132198</v>
      </c>
    </row>
    <row r="29" spans="1:17" ht="30" customHeight="1">
      <c r="A29" s="384">
        <f>INDEX(Data!$I$4:$AZ$108,MATCH(A$1,Data!$I$4:$I$108,0),MATCH($C29,Data!$I$4:$AZ$4,0))</f>
        <v>1</v>
      </c>
      <c r="B29" s="384">
        <f>IF(INDEX(Data!$I$4:$AZ$108,MATCH(B$1,Data!$I$4:$I$108,0),MATCH($C29,Data!$I$4:$AZ$4,0))=1,1000000,IF(INDEX(Data!$I$4:$AZ$108,MATCH(B$1,Data!$I$4:$I$108,0),MATCH($C29,Data!$I$4:$AZ$4,0))=1000000,1,INDEX(Data!$I$4:$AZ$108,MATCH(B$1,Data!$I$4:$I$108,0),MATCH($C29,Data!$I$4:$AZ$4,0))))</f>
        <v>1</v>
      </c>
      <c r="C29" s="384" t="str">
        <f>+VLOOKUP(E29,'aux - sample'!$A$3:$B$39,2,FALSE)</f>
        <v>BE_KBC</v>
      </c>
      <c r="E29" s="242" t="s">
        <v>476</v>
      </c>
      <c r="F29" s="243">
        <f>$A29*INDEX(Data!$I$4:$AZ$108,MATCH(F$1,Data!$I$4:$I$108,0),MATCH($C29,Data!$I$4:$AZ$4,0))/$B29</f>
        <v>232376.24815421976</v>
      </c>
      <c r="G29" s="244">
        <f>$A29*INDEX(Data!$I$4:$AZ$108,MATCH(G$1,Data!$I$4:$I$108,0),MATCH($C29,Data!$I$4:$AZ$4,0))/$B29</f>
        <v>26659.902213536061</v>
      </c>
      <c r="H29" s="245">
        <f>$A29*INDEX(Data!$I$4:$AZ$108,MATCH(H$1,Data!$I$4:$I$108,0),MATCH($C29,Data!$I$4:$AZ$4,0))/$B29</f>
        <v>61353.295474542836</v>
      </c>
      <c r="I29" s="246">
        <f>$A29*INDEX(Data!$I$4:$AZ$108,MATCH(I$1,Data!$I$4:$I$108,0),MATCH($C29,Data!$I$4:$AZ$4,0))/$B29</f>
        <v>23412.692348888115</v>
      </c>
      <c r="J29" s="247">
        <f>$A29*INDEX(Data!$I$4:$AZ$108,MATCH(J$1,Data!$I$4:$I$108,0),MATCH($C29,Data!$I$4:$AZ$4,0))/$B29</f>
        <v>5024857.4784810441</v>
      </c>
      <c r="K29" s="245">
        <f>$A29*INDEX(Data!$I$4:$AZ$108,MATCH(K$1,Data!$I$4:$I$108,0),MATCH($C29,Data!$I$4:$AZ$4,0))/$B29</f>
        <v>223867.77491767</v>
      </c>
      <c r="L29" s="248">
        <f>$A29*INDEX(Data!$I$4:$AZ$108,MATCH(L$1,Data!$I$4:$I$108,0),MATCH($C29,Data!$I$4:$AZ$4,0))/$B29</f>
        <v>0</v>
      </c>
      <c r="M29" s="247">
        <f>$A29*INDEX(Data!$I$4:$AZ$108,MATCH(M$1,Data!$I$4:$I$108,0),MATCH($C29,Data!$I$4:$AZ$4,0))/$B29</f>
        <v>462996.64077260764</v>
      </c>
      <c r="N29" s="245">
        <f>$A29*INDEX(Data!$I$4:$AZ$108,MATCH(N$1,Data!$I$4:$I$108,0),MATCH($C29,Data!$I$4:$AZ$4,0))/$B29</f>
        <v>4630.1505990000005</v>
      </c>
      <c r="O29" s="248">
        <f>$A29*INDEX(Data!$I$4:$AZ$108,MATCH(O$1,Data!$I$4:$I$108,0),MATCH($C29,Data!$I$4:$AZ$4,0))/$B29</f>
        <v>3884</v>
      </c>
      <c r="P29" s="247">
        <f>$A29*INDEX(Data!$I$4:$AZ$108,MATCH(P$1,Data!$I$4:$I$108,0),MATCH($C29,Data!$I$4:$AZ$4,0))/$B29</f>
        <v>95622</v>
      </c>
      <c r="Q29" s="248">
        <f>$A29*INDEX(Data!$I$4:$AZ$108,MATCH(Q$1,Data!$I$4:$I$108,0),MATCH($C29,Data!$I$4:$AZ$4,0))/$B29</f>
        <v>92846</v>
      </c>
    </row>
    <row r="30" spans="1:17" ht="30" customHeight="1">
      <c r="A30" s="384">
        <f>INDEX(Data!$I$4:$AZ$108,MATCH(A$1,Data!$I$4:$I$108,0),MATCH($C30,Data!$I$4:$AZ$4,0))</f>
        <v>1</v>
      </c>
      <c r="B30" s="384">
        <f>IF(INDEX(Data!$I$4:$AZ$108,MATCH(B$1,Data!$I$4:$I$108,0),MATCH($C30,Data!$I$4:$AZ$4,0))=1,1000000,IF(INDEX(Data!$I$4:$AZ$108,MATCH(B$1,Data!$I$4:$I$108,0),MATCH($C30,Data!$I$4:$AZ$4,0))=1000000,1,INDEX(Data!$I$4:$AZ$108,MATCH(B$1,Data!$I$4:$I$108,0),MATCH($C30,Data!$I$4:$AZ$4,0))))</f>
        <v>1000</v>
      </c>
      <c r="C30" s="384" t="str">
        <f>+VLOOKUP(E30,'aux - sample'!$A$3:$B$39,2,FALSE)</f>
        <v>ES_CAI</v>
      </c>
      <c r="E30" s="242" t="s">
        <v>477</v>
      </c>
      <c r="F30" s="243">
        <f>$A30*INDEX(Data!$I$4:$AZ$108,MATCH(F$1,Data!$I$4:$I$108,0),MATCH($C30,Data!$I$4:$AZ$4,0))/$B30</f>
        <v>376672.80518630275</v>
      </c>
      <c r="G30" s="244">
        <f>$A30*INDEX(Data!$I$4:$AZ$108,MATCH(G$1,Data!$I$4:$I$108,0),MATCH($C30,Data!$I$4:$AZ$4,0))/$B30</f>
        <v>12730.192768931034</v>
      </c>
      <c r="H30" s="245">
        <f>$A30*INDEX(Data!$I$4:$AZ$108,MATCH(H$1,Data!$I$4:$I$108,0),MATCH($C30,Data!$I$4:$AZ$4,0))/$B30</f>
        <v>25678.126631172767</v>
      </c>
      <c r="I30" s="246">
        <f>$A30*INDEX(Data!$I$4:$AZ$108,MATCH(I$1,Data!$I$4:$I$108,0),MATCH($C30,Data!$I$4:$AZ$4,0))/$B30</f>
        <v>77206.892144779209</v>
      </c>
      <c r="J30" s="247">
        <f>$A30*INDEX(Data!$I$4:$AZ$108,MATCH(J$1,Data!$I$4:$I$108,0),MATCH($C30,Data!$I$4:$AZ$4,0))/$B30</f>
        <v>2688873.8371085892</v>
      </c>
      <c r="K30" s="245">
        <f>$A30*INDEX(Data!$I$4:$AZ$108,MATCH(K$1,Data!$I$4:$I$108,0),MATCH($C30,Data!$I$4:$AZ$4,0))/$B30</f>
        <v>97896.360588489988</v>
      </c>
      <c r="L30" s="248">
        <f>$A30*INDEX(Data!$I$4:$AZ$108,MATCH(L$1,Data!$I$4:$I$108,0),MATCH($C30,Data!$I$4:$AZ$4,0))/$B30</f>
        <v>103.15981500000001</v>
      </c>
      <c r="M30" s="247">
        <f>$A30*INDEX(Data!$I$4:$AZ$108,MATCH(M$1,Data!$I$4:$I$108,0),MATCH($C30,Data!$I$4:$AZ$4,0))/$B30</f>
        <v>454657.52658023633</v>
      </c>
      <c r="N30" s="245">
        <f>$A30*INDEX(Data!$I$4:$AZ$108,MATCH(N$1,Data!$I$4:$I$108,0),MATCH($C30,Data!$I$4:$AZ$4,0))/$B30</f>
        <v>3780.582130590476</v>
      </c>
      <c r="O30" s="248">
        <f>$A30*INDEX(Data!$I$4:$AZ$108,MATCH(O$1,Data!$I$4:$I$108,0),MATCH($C30,Data!$I$4:$AZ$4,0))/$B30</f>
        <v>965.35299999999995</v>
      </c>
      <c r="P30" s="247">
        <f>$A30*INDEX(Data!$I$4:$AZ$108,MATCH(P$1,Data!$I$4:$I$108,0),MATCH($C30,Data!$I$4:$AZ$4,0))/$B30</f>
        <v>13262.781000000001</v>
      </c>
      <c r="Q30" s="248">
        <f>$A30*INDEX(Data!$I$4:$AZ$108,MATCH(Q$1,Data!$I$4:$I$108,0),MATCH($C30,Data!$I$4:$AZ$4,0))/$B30</f>
        <v>17206.276000000002</v>
      </c>
    </row>
    <row r="31" spans="1:17" ht="30" customHeight="1">
      <c r="A31" s="384">
        <f>INDEX(Data!$I$4:$AZ$108,MATCH(A$1,Data!$I$4:$I$108,0),MATCH($C31,Data!$I$4:$AZ$4,0))</f>
        <v>1</v>
      </c>
      <c r="B31" s="384">
        <f>IF(INDEX(Data!$I$4:$AZ$108,MATCH(B$1,Data!$I$4:$I$108,0),MATCH($C31,Data!$I$4:$AZ$4,0))=1,1000000,IF(INDEX(Data!$I$4:$AZ$108,MATCH(B$1,Data!$I$4:$I$108,0),MATCH($C31,Data!$I$4:$AZ$4,0))=1000000,1,INDEX(Data!$I$4:$AZ$108,MATCH(B$1,Data!$I$4:$I$108,0),MATCH($C31,Data!$I$4:$AZ$4,0))))</f>
        <v>1000000</v>
      </c>
      <c r="C31" s="384" t="str">
        <f>+VLOOKUP(E31,'aux - sample'!$A$3:$B$39,2,FALSE)</f>
        <v>DE_LBW</v>
      </c>
      <c r="E31" s="242" t="s">
        <v>509</v>
      </c>
      <c r="F31" s="243">
        <f>$A31*INDEX(Data!$I$4:$AZ$108,MATCH(F$1,Data!$I$4:$I$108,0),MATCH($C31,Data!$I$4:$AZ$4,0))/$B31</f>
        <v>289931.27506001305</v>
      </c>
      <c r="G31" s="244">
        <f>$A31*INDEX(Data!$I$4:$AZ$108,MATCH(G$1,Data!$I$4:$I$108,0),MATCH($C31,Data!$I$4:$AZ$4,0))/$B31</f>
        <v>117430.27130547</v>
      </c>
      <c r="H31" s="245">
        <f>$A31*INDEX(Data!$I$4:$AZ$108,MATCH(H$1,Data!$I$4:$I$108,0),MATCH($C31,Data!$I$4:$AZ$4,0))/$B31</f>
        <v>120479.71119680001</v>
      </c>
      <c r="I31" s="246">
        <f>$A31*INDEX(Data!$I$4:$AZ$108,MATCH(I$1,Data!$I$4:$I$108,0),MATCH($C31,Data!$I$4:$AZ$4,0))/$B31</f>
        <v>58651.76956991</v>
      </c>
      <c r="J31" s="247">
        <f>$A31*INDEX(Data!$I$4:$AZ$108,MATCH(J$1,Data!$I$4:$I$108,0),MATCH($C31,Data!$I$4:$AZ$4,0))/$B31</f>
        <v>4461538.7374079162</v>
      </c>
      <c r="K31" s="245">
        <f>$A31*INDEX(Data!$I$4:$AZ$108,MATCH(K$1,Data!$I$4:$I$108,0),MATCH($C31,Data!$I$4:$AZ$4,0))/$B31</f>
        <v>225641.50297392998</v>
      </c>
      <c r="L31" s="248">
        <f>$A31*INDEX(Data!$I$4:$AZ$108,MATCH(L$1,Data!$I$4:$I$108,0),MATCH($C31,Data!$I$4:$AZ$4,0))/$B31</f>
        <v>21907.23007754</v>
      </c>
      <c r="M31" s="247">
        <f>$A31*INDEX(Data!$I$4:$AZ$108,MATCH(M$1,Data!$I$4:$I$108,0),MATCH($C31,Data!$I$4:$AZ$4,0))/$B31</f>
        <v>1140472.5369997262</v>
      </c>
      <c r="N31" s="245">
        <f>$A31*INDEX(Data!$I$4:$AZ$108,MATCH(N$1,Data!$I$4:$I$108,0),MATCH($C31,Data!$I$4:$AZ$4,0))/$B31</f>
        <v>26571.314690669999</v>
      </c>
      <c r="O31" s="248">
        <f>$A31*INDEX(Data!$I$4:$AZ$108,MATCH(O$1,Data!$I$4:$I$108,0),MATCH($C31,Data!$I$4:$AZ$4,0))/$B31</f>
        <v>2001.7227124000001</v>
      </c>
      <c r="P31" s="247">
        <f>$A31*INDEX(Data!$I$4:$AZ$108,MATCH(P$1,Data!$I$4:$I$108,0),MATCH($C31,Data!$I$4:$AZ$4,0))/$B31</f>
        <v>63439.694000000003</v>
      </c>
      <c r="Q31" s="248">
        <f>$A31*INDEX(Data!$I$4:$AZ$108,MATCH(Q$1,Data!$I$4:$I$108,0),MATCH($C31,Data!$I$4:$AZ$4,0))/$B31</f>
        <v>36223.531000000003</v>
      </c>
    </row>
    <row r="32" spans="1:17" ht="30" customHeight="1">
      <c r="A32" s="384">
        <f>INDEX(Data!$I$4:$AZ$108,MATCH(A$1,Data!$I$4:$I$108,0),MATCH($C32,Data!$I$4:$AZ$4,0))</f>
        <v>1.2838618559999999</v>
      </c>
      <c r="B32" s="384">
        <f>IF(INDEX(Data!$I$4:$AZ$108,MATCH(B$1,Data!$I$4:$I$108,0),MATCH($C32,Data!$I$4:$AZ$4,0))=1,1000000,IF(INDEX(Data!$I$4:$AZ$108,MATCH(B$1,Data!$I$4:$I$108,0),MATCH($C32,Data!$I$4:$AZ$4,0))=1000000,1,INDEX(Data!$I$4:$AZ$108,MATCH(B$1,Data!$I$4:$I$108,0),MATCH($C32,Data!$I$4:$AZ$4,0))))</f>
        <v>1</v>
      </c>
      <c r="C32" s="384" t="str">
        <f>+VLOOKUP(E32,'aux - sample'!$A$3:$B$39,2,FALSE)</f>
        <v>UK_LOY</v>
      </c>
      <c r="E32" s="242" t="s">
        <v>479</v>
      </c>
      <c r="F32" s="243">
        <f>$A32*INDEX(Data!$I$4:$AZ$108,MATCH(F$1,Data!$I$4:$I$108,0),MATCH($C32,Data!$I$4:$AZ$4,0))/$B32</f>
        <v>1107113.7497601504</v>
      </c>
      <c r="G32" s="244">
        <f>$A32*INDEX(Data!$I$4:$AZ$108,MATCH(G$1,Data!$I$4:$I$108,0),MATCH($C32,Data!$I$4:$AZ$4,0))/$B32</f>
        <v>38861.214519263995</v>
      </c>
      <c r="H32" s="245">
        <f>$A32*INDEX(Data!$I$4:$AZ$108,MATCH(H$1,Data!$I$4:$I$108,0),MATCH($C32,Data!$I$4:$AZ$4,0))/$B32</f>
        <v>78565.926277919993</v>
      </c>
      <c r="I32" s="246">
        <f>$A32*INDEX(Data!$I$4:$AZ$108,MATCH(I$1,Data!$I$4:$I$108,0),MATCH($C32,Data!$I$4:$AZ$4,0))/$B32</f>
        <v>216311.46480815997</v>
      </c>
      <c r="J32" s="247">
        <f>$A32*INDEX(Data!$I$4:$AZ$108,MATCH(J$1,Data!$I$4:$I$108,0),MATCH($C32,Data!$I$4:$AZ$4,0))/$B32</f>
        <v>36204728.355816267</v>
      </c>
      <c r="K32" s="245">
        <f>$A32*INDEX(Data!$I$4:$AZ$108,MATCH(K$1,Data!$I$4:$I$108,0),MATCH($C32,Data!$I$4:$AZ$4,0))/$B32</f>
        <v>13348.311716831999</v>
      </c>
      <c r="L32" s="248">
        <f>$A32*INDEX(Data!$I$4:$AZ$108,MATCH(L$1,Data!$I$4:$I$108,0),MATCH($C32,Data!$I$4:$AZ$4,0))/$B32</f>
        <v>26584.927452191998</v>
      </c>
      <c r="M32" s="247">
        <f>$A32*INDEX(Data!$I$4:$AZ$108,MATCH(M$1,Data!$I$4:$I$108,0),MATCH($C32,Data!$I$4:$AZ$4,0))/$B32</f>
        <v>9335566.8216338865</v>
      </c>
      <c r="N32" s="245">
        <f>$A32*INDEX(Data!$I$4:$AZ$108,MATCH(N$1,Data!$I$4:$I$108,0),MATCH($C32,Data!$I$4:$AZ$4,0))/$B32</f>
        <v>2373.860571744</v>
      </c>
      <c r="O32" s="248">
        <f>$A32*INDEX(Data!$I$4:$AZ$108,MATCH(O$1,Data!$I$4:$I$108,0),MATCH($C32,Data!$I$4:$AZ$4,0))/$B32</f>
        <v>6853.2545873279996</v>
      </c>
      <c r="P32" s="247">
        <f>$A32*INDEX(Data!$I$4:$AZ$108,MATCH(P$1,Data!$I$4:$I$108,0),MATCH($C32,Data!$I$4:$AZ$4,0))/$B32</f>
        <v>88229.554468031987</v>
      </c>
      <c r="Q32" s="248">
        <f>$A32*INDEX(Data!$I$4:$AZ$108,MATCH(Q$1,Data!$I$4:$I$108,0),MATCH($C32,Data!$I$4:$AZ$4,0))/$B32</f>
        <v>143896.52068233598</v>
      </c>
    </row>
    <row r="33" spans="1:18" ht="30" customHeight="1">
      <c r="A33" s="384">
        <f>INDEX(Data!$I$4:$AZ$108,MATCH(A$1,Data!$I$4:$I$108,0),MATCH($C33,Data!$I$4:$AZ$4,0))</f>
        <v>1.2838618559999999</v>
      </c>
      <c r="B33" s="384">
        <f>IF(INDEX(Data!$I$4:$AZ$108,MATCH(B$1,Data!$I$4:$I$108,0),MATCH($C33,Data!$I$4:$AZ$4,0))=1,1000000,IF(INDEX(Data!$I$4:$AZ$108,MATCH(B$1,Data!$I$4:$I$108,0),MATCH($C33,Data!$I$4:$AZ$4,0))=1000000,1,INDEX(Data!$I$4:$AZ$108,MATCH(B$1,Data!$I$4:$I$108,0),MATCH($C33,Data!$I$4:$AZ$4,0))))</f>
        <v>1</v>
      </c>
      <c r="C33" s="384" t="str">
        <f>+VLOOKUP(E33,'aux - sample'!$A$3:$B$39,2,FALSE)</f>
        <v>UK_NAT</v>
      </c>
      <c r="E33" s="242" t="s">
        <v>481</v>
      </c>
      <c r="F33" s="243">
        <f>$A33*INDEX(Data!$I$4:$AZ$108,MATCH(F$1,Data!$I$4:$I$108,0),MATCH($C33,Data!$I$4:$AZ$4,0))/$B33</f>
        <v>276998.62646784983</v>
      </c>
      <c r="G33" s="244">
        <f>$A33*INDEX(Data!$I$4:$AZ$108,MATCH(G$1,Data!$I$4:$I$108,0),MATCH($C33,Data!$I$4:$AZ$4,0))/$B33</f>
        <v>3894.3663184894212</v>
      </c>
      <c r="H33" s="245">
        <f>$A33*INDEX(Data!$I$4:$AZ$108,MATCH(H$1,Data!$I$4:$I$108,0),MATCH($C33,Data!$I$4:$AZ$4,0))/$B33</f>
        <v>8784.6331839481845</v>
      </c>
      <c r="I33" s="246">
        <f>$A33*INDEX(Data!$I$4:$AZ$108,MATCH(I$1,Data!$I$4:$I$108,0),MATCH($C33,Data!$I$4:$AZ$4,0))/$B33</f>
        <v>39190.580765732397</v>
      </c>
      <c r="J33" s="247">
        <f>$A33*INDEX(Data!$I$4:$AZ$108,MATCH(J$1,Data!$I$4:$I$108,0),MATCH($C33,Data!$I$4:$AZ$4,0))/$B33</f>
        <v>407980.9492353088</v>
      </c>
      <c r="K33" s="245">
        <f>$A33*INDEX(Data!$I$4:$AZ$108,MATCH(K$1,Data!$I$4:$I$108,0),MATCH($C33,Data!$I$4:$AZ$4,0))/$B33</f>
        <v>0</v>
      </c>
      <c r="L33" s="248">
        <f>$A33*INDEX(Data!$I$4:$AZ$108,MATCH(L$1,Data!$I$4:$I$108,0),MATCH($C33,Data!$I$4:$AZ$4,0))/$B33</f>
        <v>0</v>
      </c>
      <c r="M33" s="247">
        <f>$A33*INDEX(Data!$I$4:$AZ$108,MATCH(M$1,Data!$I$4:$I$108,0),MATCH($C33,Data!$I$4:$AZ$4,0))/$B33</f>
        <v>171641.85845038004</v>
      </c>
      <c r="N33" s="245">
        <f>$A33*INDEX(Data!$I$4:$AZ$108,MATCH(N$1,Data!$I$4:$I$108,0),MATCH($C33,Data!$I$4:$AZ$4,0))/$B33</f>
        <v>3604.3044898371036</v>
      </c>
      <c r="O33" s="248">
        <f>$A33*INDEX(Data!$I$4:$AZ$108,MATCH(O$1,Data!$I$4:$I$108,0),MATCH($C33,Data!$I$4:$AZ$4,0))/$B33</f>
        <v>118.30259261383172</v>
      </c>
      <c r="P33" s="247">
        <f>$A33*INDEX(Data!$I$4:$AZ$108,MATCH(P$1,Data!$I$4:$I$108,0),MATCH($C33,Data!$I$4:$AZ$4,0))/$B33</f>
        <v>7823.8541504639998</v>
      </c>
      <c r="Q33" s="248">
        <f>$A33*INDEX(Data!$I$4:$AZ$108,MATCH(Q$1,Data!$I$4:$I$108,0),MATCH($C33,Data!$I$4:$AZ$4,0))/$B33</f>
        <v>8326.458421404961</v>
      </c>
    </row>
    <row r="34" spans="1:18" ht="30" customHeight="1">
      <c r="A34" s="384">
        <f>INDEX(Data!$I$4:$AZ$108,MATCH(A$1,Data!$I$4:$I$108,0),MATCH($C34,Data!$I$4:$AZ$4,0))</f>
        <v>1</v>
      </c>
      <c r="B34" s="384">
        <f>IF(INDEX(Data!$I$4:$AZ$108,MATCH(B$1,Data!$I$4:$I$108,0),MATCH($C34,Data!$I$4:$AZ$4,0))=1,1000000,IF(INDEX(Data!$I$4:$AZ$108,MATCH(B$1,Data!$I$4:$I$108,0),MATCH($C34,Data!$I$4:$AZ$4,0))=1000000,1,INDEX(Data!$I$4:$AZ$108,MATCH(B$1,Data!$I$4:$I$108,0),MATCH($C34,Data!$I$4:$AZ$4,0))))</f>
        <v>1</v>
      </c>
      <c r="C34" s="384" t="str">
        <f>+VLOOKUP(E34,'aux - sample'!$A$3:$B$39,2,FALSE)</f>
        <v>SE_NOR</v>
      </c>
      <c r="E34" s="242" t="s">
        <v>483</v>
      </c>
      <c r="F34" s="243">
        <f>$A34*INDEX(Data!$I$4:$AZ$108,MATCH(F$1,Data!$I$4:$I$108,0),MATCH($C34,Data!$I$4:$AZ$4,0))/$B34</f>
        <v>654514.6</v>
      </c>
      <c r="G34" s="244">
        <f>$A34*INDEX(Data!$I$4:$AZ$108,MATCH(G$1,Data!$I$4:$I$108,0),MATCH($C34,Data!$I$4:$AZ$4,0))/$B34</f>
        <v>105788</v>
      </c>
      <c r="H34" s="245">
        <f>$A34*INDEX(Data!$I$4:$AZ$108,MATCH(H$1,Data!$I$4:$I$108,0),MATCH($C34,Data!$I$4:$AZ$4,0))/$B34</f>
        <v>60002</v>
      </c>
      <c r="I34" s="246">
        <f>$A34*INDEX(Data!$I$4:$AZ$108,MATCH(I$1,Data!$I$4:$I$108,0),MATCH($C34,Data!$I$4:$AZ$4,0))/$B34</f>
        <v>241255</v>
      </c>
      <c r="J34" s="247">
        <f>$A34*INDEX(Data!$I$4:$AZ$108,MATCH(J$1,Data!$I$4:$I$108,0),MATCH($C34,Data!$I$4:$AZ$4,0))/$B34</f>
        <v>29011786.181709673</v>
      </c>
      <c r="K34" s="245">
        <f>$A34*INDEX(Data!$I$4:$AZ$108,MATCH(K$1,Data!$I$4:$I$108,0),MATCH($C34,Data!$I$4:$AZ$4,0))/$B34</f>
        <v>614800</v>
      </c>
      <c r="L34" s="248">
        <f>$A34*INDEX(Data!$I$4:$AZ$108,MATCH(L$1,Data!$I$4:$I$108,0),MATCH($C34,Data!$I$4:$AZ$4,0))/$B34</f>
        <v>53975</v>
      </c>
      <c r="M34" s="247">
        <f>$A34*INDEX(Data!$I$4:$AZ$108,MATCH(M$1,Data!$I$4:$I$108,0),MATCH($C34,Data!$I$4:$AZ$4,0))/$B34</f>
        <v>6375089</v>
      </c>
      <c r="N34" s="245">
        <f>$A34*INDEX(Data!$I$4:$AZ$108,MATCH(N$1,Data!$I$4:$I$108,0),MATCH($C34,Data!$I$4:$AZ$4,0))/$B34</f>
        <v>39204</v>
      </c>
      <c r="O34" s="248">
        <f>$A34*INDEX(Data!$I$4:$AZ$108,MATCH(O$1,Data!$I$4:$I$108,0),MATCH($C34,Data!$I$4:$AZ$4,0))/$B34</f>
        <v>2764</v>
      </c>
      <c r="P34" s="247">
        <f>$A34*INDEX(Data!$I$4:$AZ$108,MATCH(P$1,Data!$I$4:$I$108,0),MATCH($C34,Data!$I$4:$AZ$4,0))/$B34</f>
        <v>395086</v>
      </c>
      <c r="Q34" s="248">
        <f>$A34*INDEX(Data!$I$4:$AZ$108,MATCH(Q$1,Data!$I$4:$I$108,0),MATCH($C34,Data!$I$4:$AZ$4,0))/$B34</f>
        <v>393005</v>
      </c>
    </row>
    <row r="35" spans="1:18" ht="30" customHeight="1">
      <c r="A35" s="384">
        <f>INDEX(Data!$I$4:$AZ$108,MATCH(A$1,Data!$I$4:$I$108,0),MATCH($C35,Data!$I$4:$AZ$4,0))</f>
        <v>1</v>
      </c>
      <c r="B35" s="384">
        <f>IF(INDEX(Data!$I$4:$AZ$108,MATCH(B$1,Data!$I$4:$I$108,0),MATCH($C35,Data!$I$4:$AZ$4,0))=1,1000000,IF(INDEX(Data!$I$4:$AZ$108,MATCH(B$1,Data!$I$4:$I$108,0),MATCH($C35,Data!$I$4:$AZ$4,0))=1000000,1,INDEX(Data!$I$4:$AZ$108,MATCH(B$1,Data!$I$4:$I$108,0),MATCH($C35,Data!$I$4:$AZ$4,0))))</f>
        <v>1000</v>
      </c>
      <c r="C35" s="384" t="str">
        <f>+VLOOKUP(E35,'aux - sample'!$A$3:$B$39,2,FALSE)</f>
        <v>DE_NLB</v>
      </c>
      <c r="E35" s="242" t="s">
        <v>511</v>
      </c>
      <c r="F35" s="243">
        <f>$A35*INDEX(Data!$I$4:$AZ$108,MATCH(F$1,Data!$I$4:$I$108,0),MATCH($C35,Data!$I$4:$AZ$4,0))/$B35</f>
        <v>215609.09340000001</v>
      </c>
      <c r="G35" s="244">
        <f>$A35*INDEX(Data!$I$4:$AZ$108,MATCH(G$1,Data!$I$4:$I$108,0),MATCH($C35,Data!$I$4:$AZ$4,0))/$B35</f>
        <v>64527.695</v>
      </c>
      <c r="H35" s="245">
        <f>$A35*INDEX(Data!$I$4:$AZ$108,MATCH(H$1,Data!$I$4:$I$108,0),MATCH($C35,Data!$I$4:$AZ$4,0))/$B35</f>
        <v>76319.760999999999</v>
      </c>
      <c r="I35" s="246">
        <f>$A35*INDEX(Data!$I$4:$AZ$108,MATCH(I$1,Data!$I$4:$I$108,0),MATCH($C35,Data!$I$4:$AZ$4,0))/$B35</f>
        <v>47393.875999999997</v>
      </c>
      <c r="J35" s="247">
        <f>$A35*INDEX(Data!$I$4:$AZ$108,MATCH(J$1,Data!$I$4:$I$108,0),MATCH($C35,Data!$I$4:$AZ$4,0))/$B35</f>
        <v>710414.27243280178</v>
      </c>
      <c r="K35" s="245">
        <f>$A35*INDEX(Data!$I$4:$AZ$108,MATCH(K$1,Data!$I$4:$I$108,0),MATCH($C35,Data!$I$4:$AZ$4,0))/$B35</f>
        <v>69023.760999999999</v>
      </c>
      <c r="L35" s="248">
        <f>$A35*INDEX(Data!$I$4:$AZ$108,MATCH(L$1,Data!$I$4:$I$108,0),MATCH($C35,Data!$I$4:$AZ$4,0))/$B35</f>
        <v>6886.08</v>
      </c>
      <c r="M35" s="247">
        <f>$A35*INDEX(Data!$I$4:$AZ$108,MATCH(M$1,Data!$I$4:$I$108,0),MATCH($C35,Data!$I$4:$AZ$4,0))/$B35</f>
        <v>318932.28899999999</v>
      </c>
      <c r="N35" s="245">
        <f>$A35*INDEX(Data!$I$4:$AZ$108,MATCH(N$1,Data!$I$4:$I$108,0),MATCH($C35,Data!$I$4:$AZ$4,0))/$B35</f>
        <v>21122.29</v>
      </c>
      <c r="O35" s="248">
        <f>$A35*INDEX(Data!$I$4:$AZ$108,MATCH(O$1,Data!$I$4:$I$108,0),MATCH($C35,Data!$I$4:$AZ$4,0))/$B35</f>
        <v>563.02599999999995</v>
      </c>
      <c r="P35" s="247">
        <f>$A35*INDEX(Data!$I$4:$AZ$108,MATCH(P$1,Data!$I$4:$I$108,0),MATCH($C35,Data!$I$4:$AZ$4,0))/$B35</f>
        <v>61637.913999999997</v>
      </c>
      <c r="Q35" s="248">
        <f>$A35*INDEX(Data!$I$4:$AZ$108,MATCH(Q$1,Data!$I$4:$I$108,0),MATCH($C35,Data!$I$4:$AZ$4,0))/$B35</f>
        <v>43142.391000000003</v>
      </c>
    </row>
    <row r="36" spans="1:18" ht="30" customHeight="1">
      <c r="A36" s="384">
        <f>INDEX(Data!$I$4:$AZ$108,MATCH(A$1,Data!$I$4:$I$108,0),MATCH($C36,Data!$I$4:$AZ$4,0))</f>
        <v>1</v>
      </c>
      <c r="B36" s="384">
        <f>IF(INDEX(Data!$I$4:$AZ$108,MATCH(B$1,Data!$I$4:$I$108,0),MATCH($C36,Data!$I$4:$AZ$4,0))=1,1000000,IF(INDEX(Data!$I$4:$AZ$108,MATCH(B$1,Data!$I$4:$I$108,0),MATCH($C36,Data!$I$4:$AZ$4,0))=1000000,1,INDEX(Data!$I$4:$AZ$108,MATCH(B$1,Data!$I$4:$I$108,0),MATCH($C36,Data!$I$4:$AZ$4,0))))</f>
        <v>1</v>
      </c>
      <c r="C36" s="384" t="str">
        <f>+VLOOKUP(E36,'aux - sample'!$A$3:$B$39,2,FALSE)</f>
        <v>NL_RAB</v>
      </c>
      <c r="E36" s="242" t="s">
        <v>485</v>
      </c>
      <c r="F36" s="243">
        <f>$A36*INDEX(Data!$I$4:$AZ$108,MATCH(F$1,Data!$I$4:$I$108,0),MATCH($C36,Data!$I$4:$AZ$4,0))/$B36</f>
        <v>728314.7</v>
      </c>
      <c r="G36" s="244">
        <f>$A36*INDEX(Data!$I$4:$AZ$108,MATCH(G$1,Data!$I$4:$I$108,0),MATCH($C36,Data!$I$4:$AZ$4,0))/$B36</f>
        <v>34512</v>
      </c>
      <c r="H36" s="245">
        <f>$A36*INDEX(Data!$I$4:$AZ$108,MATCH(H$1,Data!$I$4:$I$108,0),MATCH($C36,Data!$I$4:$AZ$4,0))/$B36</f>
        <v>45074</v>
      </c>
      <c r="I36" s="246">
        <f>$A36*INDEX(Data!$I$4:$AZ$108,MATCH(I$1,Data!$I$4:$I$108,0),MATCH($C36,Data!$I$4:$AZ$4,0))/$B36</f>
        <v>201592</v>
      </c>
      <c r="J36" s="247">
        <f>$A36*INDEX(Data!$I$4:$AZ$108,MATCH(J$1,Data!$I$4:$I$108,0),MATCH($C36,Data!$I$4:$AZ$4,0))/$B36</f>
        <v>13311174.541917887</v>
      </c>
      <c r="K36" s="245">
        <f>$A36*INDEX(Data!$I$4:$AZ$108,MATCH(K$1,Data!$I$4:$I$108,0),MATCH($C36,Data!$I$4:$AZ$4,0))/$B36</f>
        <v>211</v>
      </c>
      <c r="L36" s="248">
        <f>$A36*INDEX(Data!$I$4:$AZ$108,MATCH(L$1,Data!$I$4:$I$108,0),MATCH($C36,Data!$I$4:$AZ$4,0))/$B36</f>
        <v>109089</v>
      </c>
      <c r="M36" s="247">
        <f>$A36*INDEX(Data!$I$4:$AZ$108,MATCH(M$1,Data!$I$4:$I$108,0),MATCH($C36,Data!$I$4:$AZ$4,0))/$B36</f>
        <v>2638888.8259999999</v>
      </c>
      <c r="N36" s="245">
        <f>$A36*INDEX(Data!$I$4:$AZ$108,MATCH(N$1,Data!$I$4:$I$108,0),MATCH($C36,Data!$I$4:$AZ$4,0))/$B36</f>
        <v>1120</v>
      </c>
      <c r="O36" s="248">
        <f>$A36*INDEX(Data!$I$4:$AZ$108,MATCH(O$1,Data!$I$4:$I$108,0),MATCH($C36,Data!$I$4:$AZ$4,0))/$B36</f>
        <v>3976</v>
      </c>
      <c r="P36" s="247">
        <f>$A36*INDEX(Data!$I$4:$AZ$108,MATCH(P$1,Data!$I$4:$I$108,0),MATCH($C36,Data!$I$4:$AZ$4,0))/$B36</f>
        <v>232257</v>
      </c>
      <c r="Q36" s="248">
        <f>$A36*INDEX(Data!$I$4:$AZ$108,MATCH(Q$1,Data!$I$4:$I$108,0),MATCH($C36,Data!$I$4:$AZ$4,0))/$B36</f>
        <v>77817</v>
      </c>
    </row>
    <row r="37" spans="1:18" ht="30" customHeight="1">
      <c r="A37" s="384">
        <f>INDEX(Data!$I$4:$AZ$108,MATCH(A$1,Data!$I$4:$I$108,0),MATCH($C37,Data!$I$4:$AZ$4,0))</f>
        <v>1.2838618559999999</v>
      </c>
      <c r="B37" s="384">
        <f>IF(INDEX(Data!$I$4:$AZ$108,MATCH(B$1,Data!$I$4:$I$108,0),MATCH($C37,Data!$I$4:$AZ$4,0))=1,1000000,IF(INDEX(Data!$I$4:$AZ$108,MATCH(B$1,Data!$I$4:$I$108,0),MATCH($C37,Data!$I$4:$AZ$4,0))=1000000,1,INDEX(Data!$I$4:$AZ$108,MATCH(B$1,Data!$I$4:$I$108,0),MATCH($C37,Data!$I$4:$AZ$4,0))))</f>
        <v>1</v>
      </c>
      <c r="C37" s="384" t="str">
        <f>+VLOOKUP(E37,'aux - sample'!$A$3:$B$39,2,FALSE)</f>
        <v>UK_RBS</v>
      </c>
      <c r="E37" s="242" t="s">
        <v>487</v>
      </c>
      <c r="F37" s="243">
        <f>$A37*INDEX(Data!$I$4:$AZ$108,MATCH(F$1,Data!$I$4:$I$108,0),MATCH($C37,Data!$I$4:$AZ$4,0))/$B37</f>
        <v>1410546.7962546141</v>
      </c>
      <c r="G37" s="244">
        <f>$A37*INDEX(Data!$I$4:$AZ$108,MATCH(G$1,Data!$I$4:$I$108,0),MATCH($C37,Data!$I$4:$AZ$4,0))/$B37</f>
        <v>198053.66535398399</v>
      </c>
      <c r="H37" s="245">
        <f>$A37*INDEX(Data!$I$4:$AZ$108,MATCH(H$1,Data!$I$4:$I$108,0),MATCH($C37,Data!$I$4:$AZ$4,0))/$B37</f>
        <v>203226.34477180798</v>
      </c>
      <c r="I37" s="246">
        <f>$A37*INDEX(Data!$I$4:$AZ$108,MATCH(I$1,Data!$I$4:$I$108,0),MATCH($C37,Data!$I$4:$AZ$4,0))/$B37</f>
        <v>135289.51079971198</v>
      </c>
      <c r="J37" s="247">
        <f>$A37*INDEX(Data!$I$4:$AZ$108,MATCH(J$1,Data!$I$4:$I$108,0),MATCH($C37,Data!$I$4:$AZ$4,0))/$B37</f>
        <v>50421669.428470828</v>
      </c>
      <c r="K37" s="245">
        <f>$A37*INDEX(Data!$I$4:$AZ$108,MATCH(K$1,Data!$I$4:$I$108,0),MATCH($C37,Data!$I$4:$AZ$4,0))/$B37</f>
        <v>141047.63122387198</v>
      </c>
      <c r="L37" s="248">
        <f>$A37*INDEX(Data!$I$4:$AZ$108,MATCH(L$1,Data!$I$4:$I$108,0),MATCH($C37,Data!$I$4:$AZ$4,0))/$B37</f>
        <v>123200.66756361599</v>
      </c>
      <c r="M37" s="247">
        <f>$A37*INDEX(Data!$I$4:$AZ$108,MATCH(M$1,Data!$I$4:$I$108,0),MATCH($C37,Data!$I$4:$AZ$4,0))/$B37</f>
        <v>38224419.038687997</v>
      </c>
      <c r="N37" s="245">
        <f>$A37*INDEX(Data!$I$4:$AZ$108,MATCH(N$1,Data!$I$4:$I$108,0),MATCH($C37,Data!$I$4:$AZ$4,0))/$B37</f>
        <v>30842.213366687996</v>
      </c>
      <c r="O37" s="248">
        <f>$A37*INDEX(Data!$I$4:$AZ$108,MATCH(O$1,Data!$I$4:$I$108,0),MATCH($C37,Data!$I$4:$AZ$4,0))/$B37</f>
        <v>6813.454869792</v>
      </c>
      <c r="P37" s="247">
        <f>$A37*INDEX(Data!$I$4:$AZ$108,MATCH(P$1,Data!$I$4:$I$108,0),MATCH($C37,Data!$I$4:$AZ$4,0))/$B37</f>
        <v>472797.53481427196</v>
      </c>
      <c r="Q37" s="248">
        <f>$A37*INDEX(Data!$I$4:$AZ$108,MATCH(Q$1,Data!$I$4:$I$108,0),MATCH($C37,Data!$I$4:$AZ$4,0))/$B37</f>
        <v>349138.52856806398</v>
      </c>
    </row>
    <row r="38" spans="1:18" ht="30" customHeight="1">
      <c r="A38" s="384">
        <f>INDEX(Data!$I$4:$AZ$108,MATCH(A$1,Data!$I$4:$I$108,0),MATCH($C38,Data!$I$4:$AZ$4,0))</f>
        <v>1</v>
      </c>
      <c r="B38" s="384">
        <f>IF(INDEX(Data!$I$4:$AZ$108,MATCH(B$1,Data!$I$4:$I$108,0),MATCH($C38,Data!$I$4:$AZ$4,0))=1,1000000,IF(INDEX(Data!$I$4:$AZ$108,MATCH(B$1,Data!$I$4:$I$108,0),MATCH($C38,Data!$I$4:$AZ$4,0))=1000000,1,INDEX(Data!$I$4:$AZ$108,MATCH(B$1,Data!$I$4:$I$108,0),MATCH($C38,Data!$I$4:$AZ$4,0))))</f>
        <v>1</v>
      </c>
      <c r="C38" s="384" t="str">
        <f>+VLOOKUP(E38,'aux - sample'!$A$3:$B$39,2,FALSE)</f>
        <v>ES_SAN</v>
      </c>
      <c r="E38" s="242" t="s">
        <v>488</v>
      </c>
      <c r="F38" s="243">
        <f>$A38*INDEX(Data!$I$4:$AZ$108,MATCH(F$1,Data!$I$4:$I$108,0),MATCH($C38,Data!$I$4:$AZ$4,0))/$B38</f>
        <v>1455593.2001382192</v>
      </c>
      <c r="G38" s="244">
        <f>$A38*INDEX(Data!$I$4:$AZ$108,MATCH(G$1,Data!$I$4:$I$108,0),MATCH($C38,Data!$I$4:$AZ$4,0))/$B38</f>
        <v>137532.72200000001</v>
      </c>
      <c r="H38" s="245">
        <f>$A38*INDEX(Data!$I$4:$AZ$108,MATCH(H$1,Data!$I$4:$I$108,0),MATCH($C38,Data!$I$4:$AZ$4,0))/$B38</f>
        <v>223168.53481087001</v>
      </c>
      <c r="I38" s="246">
        <f>$A38*INDEX(Data!$I$4:$AZ$108,MATCH(I$1,Data!$I$4:$I$108,0),MATCH($C38,Data!$I$4:$AZ$4,0))/$B38</f>
        <v>318504.31018091686</v>
      </c>
      <c r="J38" s="247">
        <f>$A38*INDEX(Data!$I$4:$AZ$108,MATCH(J$1,Data!$I$4:$I$108,0),MATCH($C38,Data!$I$4:$AZ$4,0))/$B38</f>
        <v>13052266.064437566</v>
      </c>
      <c r="K38" s="245">
        <f>$A38*INDEX(Data!$I$4:$AZ$108,MATCH(K$1,Data!$I$4:$I$108,0),MATCH($C38,Data!$I$4:$AZ$4,0))/$B38</f>
        <v>943103.88758771843</v>
      </c>
      <c r="L38" s="248">
        <f>$A38*INDEX(Data!$I$4:$AZ$108,MATCH(L$1,Data!$I$4:$I$108,0),MATCH($C38,Data!$I$4:$AZ$4,0))/$B38</f>
        <v>29593.583868631933</v>
      </c>
      <c r="M38" s="247">
        <f>$A38*INDEX(Data!$I$4:$AZ$108,MATCH(M$1,Data!$I$4:$I$108,0),MATCH($C38,Data!$I$4:$AZ$4,0))/$B38</f>
        <v>4117354</v>
      </c>
      <c r="N38" s="245">
        <f>$A38*INDEX(Data!$I$4:$AZ$108,MATCH(N$1,Data!$I$4:$I$108,0),MATCH($C38,Data!$I$4:$AZ$4,0))/$B38</f>
        <v>43702.820613224219</v>
      </c>
      <c r="O38" s="248">
        <f>$A38*INDEX(Data!$I$4:$AZ$108,MATCH(O$1,Data!$I$4:$I$108,0),MATCH($C38,Data!$I$4:$AZ$4,0))/$B38</f>
        <v>2557.0740000000001</v>
      </c>
      <c r="P38" s="247">
        <f>$A38*INDEX(Data!$I$4:$AZ$108,MATCH(P$1,Data!$I$4:$I$108,0),MATCH($C38,Data!$I$4:$AZ$4,0))/$B38</f>
        <v>826402.72537700005</v>
      </c>
      <c r="Q38" s="248">
        <f>$A38*INDEX(Data!$I$4:$AZ$108,MATCH(Q$1,Data!$I$4:$I$108,0),MATCH($C38,Data!$I$4:$AZ$4,0))/$B38</f>
        <v>724955.59763649991</v>
      </c>
    </row>
    <row r="39" spans="1:18" ht="30" customHeight="1">
      <c r="A39" s="384">
        <f>INDEX(Data!$I$4:$AZ$108,MATCH(A$1,Data!$I$4:$I$108,0),MATCH($C39,Data!$I$4:$AZ$4,0))</f>
        <v>0.106462259</v>
      </c>
      <c r="B39" s="384">
        <f>IF(INDEX(Data!$I$4:$AZ$108,MATCH(B$1,Data!$I$4:$I$108,0),MATCH($C39,Data!$I$4:$AZ$4,0))=1,1000000,IF(INDEX(Data!$I$4:$AZ$108,MATCH(B$1,Data!$I$4:$I$108,0),MATCH($C39,Data!$I$4:$AZ$4,0))=1000000,1,INDEX(Data!$I$4:$AZ$108,MATCH(B$1,Data!$I$4:$I$108,0),MATCH($C39,Data!$I$4:$AZ$4,0))))</f>
        <v>1000</v>
      </c>
      <c r="C39" s="384" t="str">
        <f>+VLOOKUP(E39,'aux - sample'!$A$3:$B$39,2,FALSE)</f>
        <v>SE_SEB</v>
      </c>
      <c r="E39" s="242" t="s">
        <v>490</v>
      </c>
      <c r="F39" s="243">
        <f>$A39*INDEX(Data!$I$4:$AZ$108,MATCH(F$1,Data!$I$4:$I$108,0),MATCH($C39,Data!$I$4:$AZ$4,0))/$B39</f>
        <v>310460.43219021655</v>
      </c>
      <c r="G39" s="244">
        <f>$A39*INDEX(Data!$I$4:$AZ$108,MATCH(G$1,Data!$I$4:$I$108,0),MATCH($C39,Data!$I$4:$AZ$4,0))/$B39</f>
        <v>35795.003894020934</v>
      </c>
      <c r="H39" s="245">
        <f>$A39*INDEX(Data!$I$4:$AZ$108,MATCH(H$1,Data!$I$4:$I$108,0),MATCH($C39,Data!$I$4:$AZ$4,0))/$B39</f>
        <v>48244.555206894518</v>
      </c>
      <c r="I39" s="246">
        <f>$A39*INDEX(Data!$I$4:$AZ$108,MATCH(I$1,Data!$I$4:$I$108,0),MATCH($C39,Data!$I$4:$AZ$4,0))/$B39</f>
        <v>100962.18948681638</v>
      </c>
      <c r="J39" s="247">
        <f>$A39*INDEX(Data!$I$4:$AZ$108,MATCH(J$1,Data!$I$4:$I$108,0),MATCH($C39,Data!$I$4:$AZ$4,0))/$B39</f>
        <v>5680476.1497458341</v>
      </c>
      <c r="K39" s="245">
        <f>$A39*INDEX(Data!$I$4:$AZ$108,MATCH(K$1,Data!$I$4:$I$108,0),MATCH($C39,Data!$I$4:$AZ$4,0))/$B39</f>
        <v>720004.25761700002</v>
      </c>
      <c r="L39" s="248">
        <f>$A39*INDEX(Data!$I$4:$AZ$108,MATCH(L$1,Data!$I$4:$I$108,0),MATCH($C39,Data!$I$4:$AZ$4,0))/$B39</f>
        <v>18181.296075473369</v>
      </c>
      <c r="M39" s="247">
        <f>$A39*INDEX(Data!$I$4:$AZ$108,MATCH(M$1,Data!$I$4:$I$108,0),MATCH($C39,Data!$I$4:$AZ$4,0))/$B39</f>
        <v>1442570.1605512791</v>
      </c>
      <c r="N39" s="245">
        <f>$A39*INDEX(Data!$I$4:$AZ$108,MATCH(N$1,Data!$I$4:$I$108,0),MATCH($C39,Data!$I$4:$AZ$4,0))/$B39</f>
        <v>17091.223869399295</v>
      </c>
      <c r="O39" s="248">
        <f>$A39*INDEX(Data!$I$4:$AZ$108,MATCH(O$1,Data!$I$4:$I$108,0),MATCH($C39,Data!$I$4:$AZ$4,0))/$B39</f>
        <v>3552.4326583120005</v>
      </c>
      <c r="P39" s="247">
        <f>$A39*INDEX(Data!$I$4:$AZ$108,MATCH(P$1,Data!$I$4:$I$108,0),MATCH($C39,Data!$I$4:$AZ$4,0))/$B39</f>
        <v>94979.490553187614</v>
      </c>
      <c r="Q39" s="248">
        <f>$A39*INDEX(Data!$I$4:$AZ$108,MATCH(Q$1,Data!$I$4:$I$108,0),MATCH($C39,Data!$I$4:$AZ$4,0))/$B39</f>
        <v>110347.86992241097</v>
      </c>
      <c r="R39" s="249"/>
    </row>
    <row r="40" spans="1:18" ht="30" customHeight="1">
      <c r="A40" s="384">
        <f>INDEX(Data!$I$4:$AZ$108,MATCH(A$1,Data!$I$4:$I$108,0),MATCH($C40,Data!$I$4:$AZ$4,0))</f>
        <v>1</v>
      </c>
      <c r="B40" s="384">
        <f>IF(INDEX(Data!$I$4:$AZ$108,MATCH(B$1,Data!$I$4:$I$108,0),MATCH($C40,Data!$I$4:$AZ$4,0))=1,1000000,IF(INDEX(Data!$I$4:$AZ$108,MATCH(B$1,Data!$I$4:$I$108,0),MATCH($C40,Data!$I$4:$AZ$4,0))=1000000,1,INDEX(Data!$I$4:$AZ$108,MATCH(B$1,Data!$I$4:$I$108,0),MATCH($C40,Data!$I$4:$AZ$4,0))))</f>
        <v>1000000</v>
      </c>
      <c r="C40" s="384" t="str">
        <f>+VLOOKUP(E40,'aux - sample'!$A$3:$B$39,2,FALSE)</f>
        <v>FR_SOC</v>
      </c>
      <c r="E40" s="242" t="s">
        <v>491</v>
      </c>
      <c r="F40" s="243">
        <f>$A40*INDEX(Data!$I$4:$AZ$108,MATCH(F$1,Data!$I$4:$I$108,0),MATCH($C40,Data!$I$4:$AZ$4,0))/$B40</f>
        <v>1409198.164715013</v>
      </c>
      <c r="G40" s="244">
        <f>$A40*INDEX(Data!$I$4:$AZ$108,MATCH(G$1,Data!$I$4:$I$108,0),MATCH($C40,Data!$I$4:$AZ$4,0))/$B40</f>
        <v>122442.22911711401</v>
      </c>
      <c r="H40" s="245">
        <f>$A40*INDEX(Data!$I$4:$AZ$108,MATCH(H$1,Data!$I$4:$I$108,0),MATCH($C40,Data!$I$4:$AZ$4,0))/$B40</f>
        <v>176915.7925237384</v>
      </c>
      <c r="I40" s="246">
        <f>$A40*INDEX(Data!$I$4:$AZ$108,MATCH(I$1,Data!$I$4:$I$108,0),MATCH($C40,Data!$I$4:$AZ$4,0))/$B40</f>
        <v>200579.04623444</v>
      </c>
      <c r="J40" s="247">
        <f>$A40*INDEX(Data!$I$4:$AZ$108,MATCH(J$1,Data!$I$4:$I$108,0),MATCH($C40,Data!$I$4:$AZ$4,0))/$B40</f>
        <v>27650483.686409906</v>
      </c>
      <c r="K40" s="245">
        <f>$A40*INDEX(Data!$I$4:$AZ$108,MATCH(K$1,Data!$I$4:$I$108,0),MATCH($C40,Data!$I$4:$AZ$4,0))/$B40</f>
        <v>3854000</v>
      </c>
      <c r="L40" s="248">
        <f>$A40*INDEX(Data!$I$4:$AZ$108,MATCH(L$1,Data!$I$4:$I$108,0),MATCH($C40,Data!$I$4:$AZ$4,0))/$B40</f>
        <v>94506.545167597549</v>
      </c>
      <c r="M40" s="247">
        <f>$A40*INDEX(Data!$I$4:$AZ$108,MATCH(M$1,Data!$I$4:$I$108,0),MATCH($C40,Data!$I$4:$AZ$4,0))/$B40</f>
        <v>18527798.598182</v>
      </c>
      <c r="N40" s="245">
        <f>$A40*INDEX(Data!$I$4:$AZ$108,MATCH(N$1,Data!$I$4:$I$108,0),MATCH($C40,Data!$I$4:$AZ$4,0))/$B40</f>
        <v>108455.04863234995</v>
      </c>
      <c r="O40" s="248">
        <f>$A40*INDEX(Data!$I$4:$AZ$108,MATCH(O$1,Data!$I$4:$I$108,0),MATCH($C40,Data!$I$4:$AZ$4,0))/$B40</f>
        <v>7166.2195670000001</v>
      </c>
      <c r="P40" s="247">
        <f>$A40*INDEX(Data!$I$4:$AZ$108,MATCH(P$1,Data!$I$4:$I$108,0),MATCH($C40,Data!$I$4:$AZ$4,0))/$B40</f>
        <v>426598.77270700003</v>
      </c>
      <c r="Q40" s="248">
        <f>$A40*INDEX(Data!$I$4:$AZ$108,MATCH(Q$1,Data!$I$4:$I$108,0),MATCH($C40,Data!$I$4:$AZ$4,0))/$B40</f>
        <v>336572.96614099998</v>
      </c>
      <c r="R40" s="249"/>
    </row>
    <row r="41" spans="1:18" ht="30" customHeight="1">
      <c r="A41" s="384">
        <f>INDEX(Data!$I$4:$AZ$108,MATCH(A$1,Data!$I$4:$I$108,0),MATCH($C41,Data!$I$4:$AZ$4,0))</f>
        <v>0.82365538299999996</v>
      </c>
      <c r="B41" s="384">
        <f>IF(INDEX(Data!$I$4:$AZ$108,MATCH(B$1,Data!$I$4:$I$108,0),MATCH($C41,Data!$I$4:$AZ$4,0))=1,1000000,IF(INDEX(Data!$I$4:$AZ$108,MATCH(B$1,Data!$I$4:$I$108,0),MATCH($C41,Data!$I$4:$AZ$4,0))=1000000,1,INDEX(Data!$I$4:$AZ$108,MATCH(B$1,Data!$I$4:$I$108,0),MATCH($C41,Data!$I$4:$AZ$4,0))))</f>
        <v>1</v>
      </c>
      <c r="C41" s="384" t="str">
        <f>+VLOOKUP(E41,'aux - sample'!$A$3:$B$39,2,FALSE)</f>
        <v>UK_STC</v>
      </c>
      <c r="E41" s="242" t="s">
        <v>493</v>
      </c>
      <c r="F41" s="243">
        <f>$A41*INDEX(Data!$I$4:$AZ$108,MATCH(F$1,Data!$I$4:$I$108,0),MATCH($C41,Data!$I$4:$AZ$4,0))/$B41</f>
        <v>714448.48372563068</v>
      </c>
      <c r="G41" s="244">
        <f>$A41*INDEX(Data!$I$4:$AZ$108,MATCH(G$1,Data!$I$4:$I$108,0),MATCH($C41,Data!$I$4:$AZ$4,0))/$B41</f>
        <v>161793.00428011807</v>
      </c>
      <c r="H41" s="245">
        <f>$A41*INDEX(Data!$I$4:$AZ$108,MATCH(H$1,Data!$I$4:$I$108,0),MATCH($C41,Data!$I$4:$AZ$4,0))/$B41</f>
        <v>149839.63625494618</v>
      </c>
      <c r="I41" s="246">
        <f>$A41*INDEX(Data!$I$4:$AZ$108,MATCH(I$1,Data!$I$4:$I$108,0),MATCH($C41,Data!$I$4:$AZ$4,0))/$B41</f>
        <v>118884.71505245578</v>
      </c>
      <c r="J41" s="247">
        <f>$A41*INDEX(Data!$I$4:$AZ$108,MATCH(J$1,Data!$I$4:$I$108,0),MATCH($C41,Data!$I$4:$AZ$4,0))/$B41</f>
        <v>26296209.58568304</v>
      </c>
      <c r="K41" s="245">
        <f>$A41*INDEX(Data!$I$4:$AZ$108,MATCH(K$1,Data!$I$4:$I$108,0),MATCH($C41,Data!$I$4:$AZ$4,0))/$B41</f>
        <v>752318.69072925544</v>
      </c>
      <c r="L41" s="248">
        <f>$A41*INDEX(Data!$I$4:$AZ$108,MATCH(L$1,Data!$I$4:$I$108,0),MATCH($C41,Data!$I$4:$AZ$4,0))/$B41</f>
        <v>40209.381454924427</v>
      </c>
      <c r="M41" s="247">
        <f>$A41*INDEX(Data!$I$4:$AZ$108,MATCH(M$1,Data!$I$4:$I$108,0),MATCH($C41,Data!$I$4:$AZ$4,0))/$B41</f>
        <v>5885030.8900211276</v>
      </c>
      <c r="N41" s="245">
        <f>$A41*INDEX(Data!$I$4:$AZ$108,MATCH(N$1,Data!$I$4:$I$108,0),MATCH($C41,Data!$I$4:$AZ$4,0))/$B41</f>
        <v>46676.288632198208</v>
      </c>
      <c r="O41" s="248">
        <f>$A41*INDEX(Data!$I$4:$AZ$108,MATCH(O$1,Data!$I$4:$I$108,0),MATCH($C41,Data!$I$4:$AZ$4,0))/$B41</f>
        <v>3073.0582339729999</v>
      </c>
      <c r="P41" s="247">
        <f>$A41*INDEX(Data!$I$4:$AZ$108,MATCH(P$1,Data!$I$4:$I$108,0),MATCH($C41,Data!$I$4:$AZ$4,0))/$B41</f>
        <v>454535.04676393297</v>
      </c>
      <c r="Q41" s="248">
        <f>$A41*INDEX(Data!$I$4:$AZ$108,MATCH(Q$1,Data!$I$4:$I$108,0),MATCH($C41,Data!$I$4:$AZ$4,0))/$B41</f>
        <v>439149.98786487599</v>
      </c>
    </row>
    <row r="42" spans="1:18" ht="30" customHeight="1">
      <c r="A42" s="384">
        <f>INDEX(Data!$I$4:$AZ$108,MATCH(A$1,Data!$I$4:$I$108,0),MATCH($C42,Data!$I$4:$AZ$4,0))</f>
        <v>0.106462259</v>
      </c>
      <c r="B42" s="384">
        <f>IF(INDEX(Data!$I$4:$AZ$108,MATCH(B$1,Data!$I$4:$I$108,0),MATCH($C42,Data!$I$4:$AZ$4,0))=1,1000000,IF(INDEX(Data!$I$4:$AZ$108,MATCH(B$1,Data!$I$4:$I$108,0),MATCH($C42,Data!$I$4:$AZ$4,0))=1000000,1,INDEX(Data!$I$4:$AZ$108,MATCH(B$1,Data!$I$4:$I$108,0),MATCH($C42,Data!$I$4:$AZ$4,0))))</f>
        <v>1000</v>
      </c>
      <c r="C42" s="384" t="str">
        <f>+VLOOKUP(E42,'aux - sample'!$A$3:$B$39,2,FALSE)</f>
        <v>SE_SWE</v>
      </c>
      <c r="E42" s="242" t="s">
        <v>495</v>
      </c>
      <c r="F42" s="285">
        <f>$A42*INDEX(Data!$I$4:$AZ$108,MATCH(F$1,Data!$I$4:$I$108,0),MATCH($C42,Data!$I$4:$AZ$4,0))/$B42</f>
        <v>248499.67050661848</v>
      </c>
      <c r="G42" s="286">
        <f>$A42*INDEX(Data!$I$4:$AZ$108,MATCH(G$1,Data!$I$4:$I$108,0),MATCH($C42,Data!$I$4:$AZ$4,0))/$B42</f>
        <v>23540.558791843468</v>
      </c>
      <c r="H42" s="287">
        <f>$A42*INDEX(Data!$I$4:$AZ$108,MATCH(H$1,Data!$I$4:$I$108,0),MATCH($C42,Data!$I$4:$AZ$4,0))/$B42</f>
        <v>23949.048730664483</v>
      </c>
      <c r="I42" s="288">
        <f>$A42*INDEX(Data!$I$4:$AZ$108,MATCH(I$1,Data!$I$4:$I$108,0),MATCH($C42,Data!$I$4:$AZ$4,0))/$B42</f>
        <v>114656.00504041764</v>
      </c>
      <c r="J42" s="289">
        <f>$A42*INDEX(Data!$I$4:$AZ$108,MATCH(J$1,Data!$I$4:$I$108,0),MATCH($C42,Data!$I$4:$AZ$4,0))/$B42</f>
        <v>3133545.6692732708</v>
      </c>
      <c r="K42" s="287">
        <f>$A42*INDEX(Data!$I$4:$AZ$108,MATCH(K$1,Data!$I$4:$I$108,0),MATCH($C42,Data!$I$4:$AZ$4,0))/$B42</f>
        <v>147543.07519630971</v>
      </c>
      <c r="L42" s="290">
        <f>$A42*INDEX(Data!$I$4:$AZ$108,MATCH(L$1,Data!$I$4:$I$108,0),MATCH($C42,Data!$I$4:$AZ$4,0))/$B42</f>
        <v>61.626743244739998</v>
      </c>
      <c r="M42" s="289">
        <f>$A42*INDEX(Data!$I$4:$AZ$108,MATCH(M$1,Data!$I$4:$I$108,0),MATCH($C42,Data!$I$4:$AZ$4,0))/$B42</f>
        <v>921549.82982009253</v>
      </c>
      <c r="N42" s="287">
        <f>$A42*INDEX(Data!$I$4:$AZ$108,MATCH(N$1,Data!$I$4:$I$108,0),MATCH($C42,Data!$I$4:$AZ$4,0))/$B42</f>
        <v>4330.2219685577247</v>
      </c>
      <c r="O42" s="290">
        <f>$A42*INDEX(Data!$I$4:$AZ$108,MATCH(O$1,Data!$I$4:$I$108,0),MATCH($C42,Data!$I$4:$AZ$4,0))/$B42</f>
        <v>16.821036921999998</v>
      </c>
      <c r="P42" s="289">
        <f>$A42*INDEX(Data!$I$4:$AZ$108,MATCH(P$1,Data!$I$4:$I$108,0),MATCH($C42,Data!$I$4:$AZ$4,0))/$B42</f>
        <v>21851.497684555565</v>
      </c>
      <c r="Q42" s="290">
        <f>$A42*INDEX(Data!$I$4:$AZ$108,MATCH(Q$1,Data!$I$4:$I$108,0),MATCH($C42,Data!$I$4:$AZ$4,0))/$B42</f>
        <v>90822.814539038794</v>
      </c>
    </row>
    <row r="43" spans="1:18" ht="30" customHeight="1" thickBot="1">
      <c r="A43" s="384">
        <f>INDEX(Data!$I$4:$AZ$108,MATCH(A$1,Data!$I$4:$I$108,0),MATCH($C43,Data!$I$4:$AZ$4,0))</f>
        <v>1</v>
      </c>
      <c r="B43" s="384">
        <f>IF(INDEX(Data!$I$4:$AZ$108,MATCH(B$1,Data!$I$4:$I$108,0),MATCH($C43,Data!$I$4:$AZ$4,0))=1,1000000,IF(INDEX(Data!$I$4:$AZ$108,MATCH(B$1,Data!$I$4:$I$108,0),MATCH($C43,Data!$I$4:$AZ$4,0))=1000000,1,INDEX(Data!$I$4:$AZ$108,MATCH(B$1,Data!$I$4:$I$108,0),MATCH($C43,Data!$I$4:$AZ$4,0))))</f>
        <v>1000</v>
      </c>
      <c r="C43" s="384" t="str">
        <f>+VLOOKUP(E43,'aux - sample'!$A$3:$B$39,2,FALSE)</f>
        <v>IT_UNI</v>
      </c>
      <c r="E43" s="242" t="s">
        <v>497</v>
      </c>
      <c r="F43" s="278">
        <f>$A43*INDEX(Data!$I$4:$AZ$108,MATCH(F$1,Data!$I$4:$I$108,0),MATCH($C43,Data!$I$4:$AZ$4,0))/$B43</f>
        <v>1034420.94818684</v>
      </c>
      <c r="G43" s="279">
        <f>$A43*INDEX(Data!$I$4:$AZ$108,MATCH(G$1,Data!$I$4:$I$108,0),MATCH($C43,Data!$I$4:$AZ$4,0))/$B43</f>
        <v>151185.36062522</v>
      </c>
      <c r="H43" s="280">
        <f>$A43*INDEX(Data!$I$4:$AZ$108,MATCH(H$1,Data!$I$4:$I$108,0),MATCH($C43,Data!$I$4:$AZ$4,0))/$B43</f>
        <v>214723.14511478</v>
      </c>
      <c r="I43" s="281">
        <f>$A43*INDEX(Data!$I$4:$AZ$108,MATCH(I$1,Data!$I$4:$I$108,0),MATCH($C43,Data!$I$4:$AZ$4,0))/$B43</f>
        <v>186115.18783683999</v>
      </c>
      <c r="J43" s="282">
        <f>$A43*INDEX(Data!$I$4:$AZ$108,MATCH(J$1,Data!$I$4:$I$108,0),MATCH($C43,Data!$I$4:$AZ$4,0))/$B43</f>
        <v>9690155.4469751362</v>
      </c>
      <c r="K43" s="280">
        <f>$A43*INDEX(Data!$I$4:$AZ$108,MATCH(K$1,Data!$I$4:$I$108,0),MATCH($C43,Data!$I$4:$AZ$4,0))/$B43</f>
        <v>265045.34399999998</v>
      </c>
      <c r="L43" s="283">
        <f>$A43*INDEX(Data!$I$4:$AZ$108,MATCH(L$1,Data!$I$4:$I$108,0),MATCH($C43,Data!$I$4:$AZ$4,0))/$B43</f>
        <v>71933.078800000003</v>
      </c>
      <c r="M43" s="282">
        <f>$A43*INDEX(Data!$I$4:$AZ$108,MATCH(M$1,Data!$I$4:$I$108,0),MATCH($C43,Data!$I$4:$AZ$4,0))/$B43</f>
        <v>2498951.4819999998</v>
      </c>
      <c r="N43" s="280">
        <f>$A43*INDEX(Data!$I$4:$AZ$108,MATCH(N$1,Data!$I$4:$I$108,0),MATCH($C43,Data!$I$4:$AZ$4,0))/$B43</f>
        <v>42445.004999999997</v>
      </c>
      <c r="O43" s="283">
        <f>$A43*INDEX(Data!$I$4:$AZ$108,MATCH(O$1,Data!$I$4:$I$108,0),MATCH($C43,Data!$I$4:$AZ$4,0))/$B43</f>
        <v>6919.402</v>
      </c>
      <c r="P43" s="282">
        <f>$A43*INDEX(Data!$I$4:$AZ$108,MATCH(P$1,Data!$I$4:$I$108,0),MATCH($C43,Data!$I$4:$AZ$4,0))/$B43</f>
        <v>438079.739</v>
      </c>
      <c r="Q43" s="283">
        <f>$A43*INDEX(Data!$I$4:$AZ$108,MATCH(Q$1,Data!$I$4:$I$108,0),MATCH($C43,Data!$I$4:$AZ$4,0))/$B43</f>
        <v>642944.19363373693</v>
      </c>
    </row>
    <row r="44" spans="1:18">
      <c r="F44" s="250"/>
      <c r="G44" s="251"/>
      <c r="H44" s="249"/>
      <c r="I44" s="249"/>
      <c r="J44" s="249"/>
      <c r="K44" s="249"/>
      <c r="L44" s="249"/>
      <c r="M44" s="249"/>
      <c r="N44" s="249"/>
      <c r="O44" s="249"/>
      <c r="P44" s="249"/>
      <c r="Q44" s="249"/>
    </row>
    <row r="45" spans="1:18">
      <c r="F45" s="250"/>
      <c r="G45" s="251"/>
      <c r="H45" s="249"/>
      <c r="I45" s="249"/>
      <c r="J45" s="249"/>
      <c r="K45" s="249"/>
      <c r="L45" s="249"/>
      <c r="M45" s="249"/>
      <c r="N45" s="249"/>
      <c r="O45" s="249"/>
      <c r="P45" s="252" t="s">
        <v>535</v>
      </c>
      <c r="Q45" s="253">
        <f ca="1">+NOW()</f>
        <v>42312.468564351853</v>
      </c>
    </row>
    <row r="46" spans="1:18">
      <c r="F46" s="250"/>
      <c r="G46" s="251"/>
      <c r="H46" s="249"/>
      <c r="I46" s="249"/>
      <c r="J46" s="249"/>
      <c r="K46" s="249"/>
      <c r="L46" s="249"/>
      <c r="M46" s="249"/>
      <c r="N46" s="249"/>
      <c r="O46" s="249"/>
      <c r="P46" s="249"/>
      <c r="Q46" s="249"/>
    </row>
    <row r="47" spans="1:18">
      <c r="F47" s="250"/>
      <c r="G47" s="251"/>
      <c r="H47" s="249"/>
      <c r="I47" s="249"/>
      <c r="J47" s="249"/>
      <c r="K47" s="249"/>
      <c r="L47" s="249"/>
      <c r="M47" s="249"/>
      <c r="N47" s="249"/>
      <c r="O47" s="249"/>
      <c r="P47" s="249"/>
      <c r="Q47" s="249"/>
    </row>
    <row r="48" spans="1:18">
      <c r="F48" s="250"/>
      <c r="G48" s="251"/>
      <c r="H48" s="249"/>
      <c r="I48" s="249"/>
      <c r="J48" s="249"/>
      <c r="K48" s="249"/>
      <c r="L48" s="249"/>
      <c r="M48" s="249"/>
      <c r="N48" s="249"/>
      <c r="O48" s="249"/>
      <c r="P48" s="249"/>
      <c r="Q48" s="249"/>
    </row>
    <row r="49" spans="6:17">
      <c r="F49" s="250"/>
      <c r="G49" s="251"/>
      <c r="H49" s="249"/>
      <c r="I49" s="249"/>
      <c r="J49" s="249"/>
      <c r="K49" s="249"/>
      <c r="L49" s="249"/>
      <c r="M49" s="249"/>
      <c r="N49" s="249"/>
      <c r="O49" s="249"/>
      <c r="P49" s="249"/>
      <c r="Q49" s="249"/>
    </row>
    <row r="50" spans="6:17">
      <c r="F50" s="250"/>
      <c r="G50" s="251"/>
      <c r="H50" s="249"/>
      <c r="I50" s="249"/>
      <c r="J50" s="249"/>
      <c r="K50" s="249"/>
      <c r="L50" s="249"/>
      <c r="M50" s="249"/>
      <c r="N50" s="249"/>
      <c r="O50" s="249"/>
      <c r="P50" s="249"/>
      <c r="Q50" s="249"/>
    </row>
    <row r="51" spans="6:17">
      <c r="F51" s="250"/>
      <c r="G51" s="251"/>
      <c r="H51" s="249"/>
      <c r="I51" s="249"/>
      <c r="J51" s="249"/>
      <c r="K51" s="249"/>
      <c r="L51" s="249"/>
      <c r="M51" s="249"/>
      <c r="N51" s="249"/>
      <c r="O51" s="249"/>
      <c r="P51" s="249"/>
      <c r="Q51" s="249"/>
    </row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</sheetData>
  <sheetProtection password="D63A" sheet="1" objects="1" scenarios="1"/>
  <sortState ref="E7:E43">
    <sortCondition ref="E7"/>
  </sortState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 verticalCentered="1"/>
  <pageMargins left="0.15748031496062992" right="0.15748031496062992" top="0.55118110236220474" bottom="0.55118110236220474" header="0.23622047244094491" footer="0.23622047244094491"/>
  <pageSetup paperSize="9" scale="39" orientation="landscape" r:id="rId1"/>
  <headerFooter>
    <oddFooter>&amp;LEuropean Banking Authority&amp;CMinimum level of disclosure, as prescribed by the BCBS documents and methodology - 12 Indicators for assessing systemic importance&amp;REnd-2014 G-SII disclosure exercise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6" tint="0.39997558519241921"/>
    <pageSetUpPr fitToPage="1"/>
  </sheetPr>
  <dimension ref="A1:U60"/>
  <sheetViews>
    <sheetView showGridLines="0" zoomScale="70" zoomScaleNormal="70" workbookViewId="0">
      <pane xSplit="5" ySplit="6" topLeftCell="F7" activePane="bottomRight" state="frozen"/>
      <selection activeCell="M19" sqref="M19"/>
      <selection pane="topRight" activeCell="M19" sqref="M19"/>
      <selection pane="bottomLeft" activeCell="M19" sqref="M19"/>
      <selection pane="bottomRight" activeCell="E1" sqref="E1"/>
    </sheetView>
  </sheetViews>
  <sheetFormatPr defaultColWidth="0" defaultRowHeight="15.75" customHeight="1" zeroHeight="1"/>
  <cols>
    <col min="1" max="4" width="10.7109375" style="291" hidden="1" customWidth="1"/>
    <col min="5" max="5" width="38.140625" style="292" customWidth="1"/>
    <col min="6" max="6" width="20.7109375" style="291" customWidth="1"/>
    <col min="7" max="7" width="20.7109375" style="344" customWidth="1"/>
    <col min="8" max="17" width="20.7109375" style="291" customWidth="1"/>
    <col min="18" max="18" width="4.7109375" style="291" customWidth="1"/>
    <col min="19" max="21" width="9.140625" style="291" customWidth="1"/>
    <col min="22" max="16384" width="9.140625" style="291" hidden="1"/>
  </cols>
  <sheetData>
    <row r="1" spans="5:17" ht="15.75" customHeight="1">
      <c r="F1" s="293" t="s">
        <v>659</v>
      </c>
      <c r="G1" s="294" t="s">
        <v>55</v>
      </c>
      <c r="H1" s="293" t="s">
        <v>660</v>
      </c>
      <c r="I1" s="293" t="s">
        <v>661</v>
      </c>
      <c r="J1" s="293" t="s">
        <v>662</v>
      </c>
      <c r="K1" s="293" t="s">
        <v>663</v>
      </c>
      <c r="L1" s="293" t="s">
        <v>664</v>
      </c>
      <c r="M1" s="293" t="s">
        <v>129</v>
      </c>
      <c r="N1" s="293" t="s">
        <v>665</v>
      </c>
      <c r="O1" s="293" t="s">
        <v>137</v>
      </c>
      <c r="P1" s="293" t="s">
        <v>666</v>
      </c>
      <c r="Q1" s="293" t="s">
        <v>667</v>
      </c>
    </row>
    <row r="2" spans="5:17" s="295" customFormat="1" ht="24" customHeight="1" thickBot="1">
      <c r="E2" s="296"/>
      <c r="F2" s="444" t="s">
        <v>515</v>
      </c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</row>
    <row r="3" spans="5:17" s="297" customFormat="1" ht="24" customHeight="1">
      <c r="E3" s="298" t="s">
        <v>516</v>
      </c>
      <c r="F3" s="445" t="s">
        <v>517</v>
      </c>
      <c r="G3" s="446"/>
      <c r="H3" s="446"/>
      <c r="I3" s="446"/>
      <c r="J3" s="446"/>
      <c r="K3" s="446"/>
      <c r="L3" s="446"/>
      <c r="M3" s="446"/>
      <c r="N3" s="446"/>
      <c r="O3" s="446"/>
      <c r="P3" s="446"/>
      <c r="Q3" s="447"/>
    </row>
    <row r="4" spans="5:17" s="299" customFormat="1" ht="18.75">
      <c r="E4" s="300"/>
      <c r="F4" s="301" t="s">
        <v>518</v>
      </c>
      <c r="G4" s="448" t="s">
        <v>519</v>
      </c>
      <c r="H4" s="448"/>
      <c r="I4" s="448"/>
      <c r="J4" s="449" t="s">
        <v>520</v>
      </c>
      <c r="K4" s="449"/>
      <c r="L4" s="449"/>
      <c r="M4" s="450" t="s">
        <v>521</v>
      </c>
      <c r="N4" s="450"/>
      <c r="O4" s="450"/>
      <c r="P4" s="451" t="s">
        <v>522</v>
      </c>
      <c r="Q4" s="451"/>
    </row>
    <row r="5" spans="5:17" s="299" customFormat="1" ht="18.75">
      <c r="E5" s="300"/>
      <c r="F5" s="441" t="s">
        <v>523</v>
      </c>
      <c r="G5" s="442"/>
      <c r="H5" s="442"/>
      <c r="I5" s="442"/>
      <c r="J5" s="442"/>
      <c r="K5" s="442"/>
      <c r="L5" s="442"/>
      <c r="M5" s="442"/>
      <c r="N5" s="442"/>
      <c r="O5" s="442"/>
      <c r="P5" s="442"/>
      <c r="Q5" s="443"/>
    </row>
    <row r="6" spans="5:17" ht="110.25" customHeight="1" thickBot="1">
      <c r="E6" s="302" t="s">
        <v>524</v>
      </c>
      <c r="F6" s="303" t="s">
        <v>668</v>
      </c>
      <c r="G6" s="304" t="s">
        <v>525</v>
      </c>
      <c r="H6" s="305" t="s">
        <v>526</v>
      </c>
      <c r="I6" s="306" t="s">
        <v>527</v>
      </c>
      <c r="J6" s="307" t="s">
        <v>528</v>
      </c>
      <c r="K6" s="308" t="s">
        <v>529</v>
      </c>
      <c r="L6" s="309" t="s">
        <v>530</v>
      </c>
      <c r="M6" s="310" t="s">
        <v>669</v>
      </c>
      <c r="N6" s="311" t="s">
        <v>531</v>
      </c>
      <c r="O6" s="312" t="s">
        <v>532</v>
      </c>
      <c r="P6" s="313" t="s">
        <v>533</v>
      </c>
      <c r="Q6" s="314" t="s">
        <v>534</v>
      </c>
    </row>
    <row r="7" spans="5:17" ht="30" customHeight="1">
      <c r="E7" s="315" t="s">
        <v>444</v>
      </c>
      <c r="F7" s="316">
        <v>421707.62530000001</v>
      </c>
      <c r="G7" s="317">
        <v>52974.052000000003</v>
      </c>
      <c r="H7" s="318">
        <v>44558.413326000002</v>
      </c>
      <c r="I7" s="319">
        <v>84892</v>
      </c>
      <c r="J7" s="320">
        <v>574979.28140841157</v>
      </c>
      <c r="K7" s="318">
        <v>112395.912</v>
      </c>
      <c r="L7" s="321">
        <v>4056.2559999999999</v>
      </c>
      <c r="M7" s="320">
        <v>947002</v>
      </c>
      <c r="N7" s="318">
        <v>1125</v>
      </c>
      <c r="O7" s="321">
        <v>1321</v>
      </c>
      <c r="P7" s="320">
        <v>94970.361000000004</v>
      </c>
      <c r="Q7" s="321">
        <v>117309.071</v>
      </c>
    </row>
    <row r="8" spans="5:17" ht="30" customHeight="1">
      <c r="E8" s="315" t="s">
        <v>446</v>
      </c>
      <c r="F8" s="322">
        <v>211182.77753939002</v>
      </c>
      <c r="G8" s="323">
        <v>35384.270932019994</v>
      </c>
      <c r="H8" s="324">
        <v>37948.175392129997</v>
      </c>
      <c r="I8" s="325">
        <v>47116.872058269997</v>
      </c>
      <c r="J8" s="326">
        <v>784561.17113762209</v>
      </c>
      <c r="K8" s="324">
        <v>117544.511</v>
      </c>
      <c r="L8" s="327">
        <v>12437.833000000001</v>
      </c>
      <c r="M8" s="326">
        <v>332319.99113214749</v>
      </c>
      <c r="N8" s="324">
        <v>690.11800000000005</v>
      </c>
      <c r="O8" s="327">
        <v>690.60599999999999</v>
      </c>
      <c r="P8" s="326">
        <v>8804.1662390000001</v>
      </c>
      <c r="Q8" s="327">
        <v>23336.519476000001</v>
      </c>
    </row>
    <row r="9" spans="5:17" ht="30" customHeight="1">
      <c r="E9" s="315" t="s">
        <v>448</v>
      </c>
      <c r="F9" s="322">
        <v>212493.35845458001</v>
      </c>
      <c r="G9" s="323">
        <v>22171.210999999999</v>
      </c>
      <c r="H9" s="324">
        <v>17026.074000000001</v>
      </c>
      <c r="I9" s="325">
        <v>10171.342000000001</v>
      </c>
      <c r="J9" s="326">
        <v>442880.09</v>
      </c>
      <c r="K9" s="324">
        <v>135100</v>
      </c>
      <c r="L9" s="327">
        <v>0</v>
      </c>
      <c r="M9" s="326">
        <v>40567.942000000003</v>
      </c>
      <c r="N9" s="324">
        <v>7736.0259999999998</v>
      </c>
      <c r="O9" s="327">
        <v>126.63200000000001</v>
      </c>
      <c r="P9" s="326">
        <v>557.88599999999997</v>
      </c>
      <c r="Q9" s="327">
        <v>557.88599999999997</v>
      </c>
    </row>
    <row r="10" spans="5:17" ht="30" customHeight="1">
      <c r="E10" s="315" t="s">
        <v>450</v>
      </c>
      <c r="F10" s="328">
        <v>1962639.6087325828</v>
      </c>
      <c r="G10" s="329">
        <v>259692.13215846021</v>
      </c>
      <c r="H10" s="330">
        <v>162232.76437657161</v>
      </c>
      <c r="I10" s="331">
        <v>243855.46774988642</v>
      </c>
      <c r="J10" s="332">
        <v>39112492.711110696</v>
      </c>
      <c r="K10" s="330">
        <v>236255.74323479238</v>
      </c>
      <c r="L10" s="333">
        <v>312619.73914791254</v>
      </c>
      <c r="M10" s="332">
        <v>48244294.101830177</v>
      </c>
      <c r="N10" s="330">
        <v>157026.508307816</v>
      </c>
      <c r="O10" s="333">
        <v>39479.758054621394</v>
      </c>
      <c r="P10" s="332">
        <v>701445.36391244002</v>
      </c>
      <c r="Q10" s="333">
        <v>583873.01608283049</v>
      </c>
    </row>
    <row r="11" spans="5:17" ht="30" customHeight="1">
      <c r="E11" s="315" t="s">
        <v>499</v>
      </c>
      <c r="F11" s="328">
        <v>289756.51520661876</v>
      </c>
      <c r="G11" s="329">
        <v>72793.348768341835</v>
      </c>
      <c r="H11" s="330">
        <v>108240.19402811196</v>
      </c>
      <c r="I11" s="331">
        <v>78342.672928332875</v>
      </c>
      <c r="J11" s="332">
        <v>2694467.2132430645</v>
      </c>
      <c r="K11" s="330">
        <v>85168.14</v>
      </c>
      <c r="L11" s="333">
        <v>6952.9765024438457</v>
      </c>
      <c r="M11" s="332">
        <v>1425525.7312519357</v>
      </c>
      <c r="N11" s="330">
        <v>3941.3870000000002</v>
      </c>
      <c r="O11" s="333">
        <v>4478</v>
      </c>
      <c r="P11" s="332">
        <v>70053.710999999996</v>
      </c>
      <c r="Q11" s="333">
        <v>20748.712</v>
      </c>
    </row>
    <row r="12" spans="5:17" ht="30" customHeight="1">
      <c r="E12" s="315" t="s">
        <v>453</v>
      </c>
      <c r="F12" s="328">
        <v>681163.78104474302</v>
      </c>
      <c r="G12" s="329">
        <v>36559.898771566666</v>
      </c>
      <c r="H12" s="330">
        <v>47165.522316194772</v>
      </c>
      <c r="I12" s="331">
        <v>146605.25260437006</v>
      </c>
      <c r="J12" s="332">
        <v>6048306.3802728523</v>
      </c>
      <c r="K12" s="330">
        <v>573882.17500000005</v>
      </c>
      <c r="L12" s="333">
        <v>26197.778999999999</v>
      </c>
      <c r="M12" s="332">
        <v>1809907.2736984405</v>
      </c>
      <c r="N12" s="330">
        <v>32632.698039418145</v>
      </c>
      <c r="O12" s="333">
        <v>887.39</v>
      </c>
      <c r="P12" s="332">
        <v>260238.663</v>
      </c>
      <c r="Q12" s="333">
        <v>275213.94500000001</v>
      </c>
    </row>
    <row r="13" spans="5:17" ht="30" customHeight="1">
      <c r="E13" s="315" t="s">
        <v>647</v>
      </c>
      <c r="F13" s="328" t="s">
        <v>675</v>
      </c>
      <c r="G13" s="329" t="s">
        <v>675</v>
      </c>
      <c r="H13" s="330" t="s">
        <v>675</v>
      </c>
      <c r="I13" s="331" t="s">
        <v>675</v>
      </c>
      <c r="J13" s="332" t="s">
        <v>675</v>
      </c>
      <c r="K13" s="330" t="s">
        <v>675</v>
      </c>
      <c r="L13" s="333" t="s">
        <v>675</v>
      </c>
      <c r="M13" s="332" t="s">
        <v>675</v>
      </c>
      <c r="N13" s="330" t="s">
        <v>675</v>
      </c>
      <c r="O13" s="333" t="s">
        <v>675</v>
      </c>
      <c r="P13" s="332" t="s">
        <v>675</v>
      </c>
      <c r="Q13" s="333" t="s">
        <v>675</v>
      </c>
    </row>
    <row r="14" spans="5:17" ht="30" customHeight="1">
      <c r="E14" s="315" t="s">
        <v>455</v>
      </c>
      <c r="F14" s="328">
        <v>2031623.0665639413</v>
      </c>
      <c r="G14" s="329">
        <v>205328.77704709404</v>
      </c>
      <c r="H14" s="330">
        <v>435011.48256100493</v>
      </c>
      <c r="I14" s="331">
        <v>313862.014043</v>
      </c>
      <c r="J14" s="332">
        <v>49556784.210087873</v>
      </c>
      <c r="K14" s="330">
        <v>4181078.2609963547</v>
      </c>
      <c r="L14" s="333">
        <v>189229.79399329654</v>
      </c>
      <c r="M14" s="332">
        <v>39104387</v>
      </c>
      <c r="N14" s="330">
        <v>185202.85773930623</v>
      </c>
      <c r="O14" s="333">
        <v>20589.658828881795</v>
      </c>
      <c r="P14" s="332">
        <v>876694.95532243676</v>
      </c>
      <c r="Q14" s="333">
        <v>584177.37924670591</v>
      </c>
    </row>
    <row r="15" spans="5:17" ht="30" customHeight="1">
      <c r="E15" s="315" t="s">
        <v>457</v>
      </c>
      <c r="F15" s="328">
        <v>1235027</v>
      </c>
      <c r="G15" s="329">
        <v>106016</v>
      </c>
      <c r="H15" s="330">
        <v>161284</v>
      </c>
      <c r="I15" s="331">
        <v>261906</v>
      </c>
      <c r="J15" s="332">
        <v>24395138.554522105</v>
      </c>
      <c r="K15" s="330">
        <v>80900</v>
      </c>
      <c r="L15" s="333">
        <v>48513</v>
      </c>
      <c r="M15" s="332">
        <v>10521128</v>
      </c>
      <c r="N15" s="330">
        <v>6329</v>
      </c>
      <c r="O15" s="333">
        <v>14959</v>
      </c>
      <c r="P15" s="332">
        <v>236908</v>
      </c>
      <c r="Q15" s="333">
        <v>57925</v>
      </c>
    </row>
    <row r="16" spans="5:17" ht="30" customHeight="1">
      <c r="E16" s="315" t="s">
        <v>501</v>
      </c>
      <c r="F16" s="328">
        <v>686192</v>
      </c>
      <c r="G16" s="329">
        <v>196056</v>
      </c>
      <c r="H16" s="330">
        <v>198439</v>
      </c>
      <c r="I16" s="331">
        <v>96284</v>
      </c>
      <c r="J16" s="332">
        <v>27556575.86131496</v>
      </c>
      <c r="K16" s="330">
        <v>192435.52185709</v>
      </c>
      <c r="L16" s="333">
        <v>25429</v>
      </c>
      <c r="M16" s="332">
        <v>7294752</v>
      </c>
      <c r="N16" s="330">
        <v>48706</v>
      </c>
      <c r="O16" s="333">
        <v>2182</v>
      </c>
      <c r="P16" s="332">
        <v>260690</v>
      </c>
      <c r="Q16" s="333">
        <v>133954</v>
      </c>
    </row>
    <row r="17" spans="5:17" ht="30" customHeight="1">
      <c r="E17" s="315" t="s">
        <v>459</v>
      </c>
      <c r="F17" s="328">
        <v>1746395</v>
      </c>
      <c r="G17" s="329">
        <v>163301</v>
      </c>
      <c r="H17" s="330">
        <v>286461.48778469954</v>
      </c>
      <c r="I17" s="331">
        <v>250135</v>
      </c>
      <c r="J17" s="332">
        <v>20175277</v>
      </c>
      <c r="K17" s="330">
        <v>2254000</v>
      </c>
      <c r="L17" s="333">
        <v>65360</v>
      </c>
      <c r="M17" s="332">
        <v>13817621</v>
      </c>
      <c r="N17" s="330">
        <v>62091</v>
      </c>
      <c r="O17" s="333">
        <v>7462</v>
      </c>
      <c r="P17" s="332">
        <v>355550</v>
      </c>
      <c r="Q17" s="333">
        <v>305124</v>
      </c>
    </row>
    <row r="18" spans="5:17" ht="30" customHeight="1">
      <c r="E18" s="315" t="s">
        <v>461</v>
      </c>
      <c r="F18" s="328">
        <v>635772.76807416882</v>
      </c>
      <c r="G18" s="329">
        <v>53684.815587175472</v>
      </c>
      <c r="H18" s="330">
        <v>45729.347452645066</v>
      </c>
      <c r="I18" s="331">
        <v>136575.71214132893</v>
      </c>
      <c r="J18" s="332">
        <v>5347472.2594455341</v>
      </c>
      <c r="K18" s="330">
        <v>269863</v>
      </c>
      <c r="L18" s="333">
        <v>1120</v>
      </c>
      <c r="M18" s="332">
        <v>658495.66599999997</v>
      </c>
      <c r="N18" s="330">
        <v>26867.194998852847</v>
      </c>
      <c r="O18" s="333">
        <v>4018.5768258253988</v>
      </c>
      <c r="P18" s="332">
        <v>75917.623430000007</v>
      </c>
      <c r="Q18" s="333">
        <v>42869.132821849191</v>
      </c>
    </row>
    <row r="19" spans="5:17" ht="30" customHeight="1">
      <c r="E19" s="315" t="s">
        <v>463</v>
      </c>
      <c r="F19" s="328">
        <v>474469.65387711767</v>
      </c>
      <c r="G19" s="329">
        <v>74132.967071550083</v>
      </c>
      <c r="H19" s="330">
        <v>16520.022009668595</v>
      </c>
      <c r="I19" s="331">
        <v>154333.38826670908</v>
      </c>
      <c r="J19" s="332">
        <v>290406.17210109666</v>
      </c>
      <c r="K19" s="330">
        <v>78650.141546974992</v>
      </c>
      <c r="L19" s="333">
        <v>99419.983293695972</v>
      </c>
      <c r="M19" s="332">
        <v>6332416.5897256145</v>
      </c>
      <c r="N19" s="330">
        <v>5332.5379133489996</v>
      </c>
      <c r="O19" s="333">
        <v>1775.7698469019999</v>
      </c>
      <c r="P19" s="332">
        <v>178818.05288872748</v>
      </c>
      <c r="Q19" s="333">
        <v>281982.44025650178</v>
      </c>
    </row>
    <row r="20" spans="5:17" ht="30" customHeight="1">
      <c r="E20" s="315" t="s">
        <v>503</v>
      </c>
      <c r="F20" s="328">
        <v>1747748.1287083481</v>
      </c>
      <c r="G20" s="329">
        <v>303108.21325123595</v>
      </c>
      <c r="H20" s="330">
        <v>249661.90138168604</v>
      </c>
      <c r="I20" s="331">
        <v>198552.2475152</v>
      </c>
      <c r="J20" s="332">
        <v>164892429.8037473</v>
      </c>
      <c r="K20" s="330">
        <v>3114659.9517211849</v>
      </c>
      <c r="L20" s="333">
        <v>319512</v>
      </c>
      <c r="M20" s="332">
        <v>49579006.43731755</v>
      </c>
      <c r="N20" s="330">
        <v>130131.50194777998</v>
      </c>
      <c r="O20" s="333">
        <v>27383.938968800001</v>
      </c>
      <c r="P20" s="332">
        <v>762580.20600000001</v>
      </c>
      <c r="Q20" s="333">
        <v>674204.62699999998</v>
      </c>
    </row>
    <row r="21" spans="5:17" ht="30" customHeight="1">
      <c r="E21" s="315" t="s">
        <v>465</v>
      </c>
      <c r="F21" s="328">
        <v>287606.12399665877</v>
      </c>
      <c r="G21" s="329">
        <v>39135.691798155611</v>
      </c>
      <c r="H21" s="330">
        <v>23018.287850819728</v>
      </c>
      <c r="I21" s="331">
        <v>106936.47828103631</v>
      </c>
      <c r="J21" s="332">
        <v>13245970.683315551</v>
      </c>
      <c r="K21" s="330">
        <v>137390.88793500001</v>
      </c>
      <c r="L21" s="333">
        <v>16806.189463863346</v>
      </c>
      <c r="M21" s="332">
        <v>714603.71546586941</v>
      </c>
      <c r="N21" s="330">
        <v>1766.8684319015363</v>
      </c>
      <c r="O21" s="333">
        <v>16024.055502618612</v>
      </c>
      <c r="P21" s="332">
        <v>98883.175532399997</v>
      </c>
      <c r="Q21" s="333">
        <v>88838.904494138711</v>
      </c>
    </row>
    <row r="22" spans="5:17" ht="30" customHeight="1">
      <c r="E22" s="315" t="s">
        <v>505</v>
      </c>
      <c r="F22" s="328">
        <v>335983.80239999999</v>
      </c>
      <c r="G22" s="329">
        <v>140782.09414082678</v>
      </c>
      <c r="H22" s="330">
        <v>123554.42801095558</v>
      </c>
      <c r="I22" s="331">
        <v>61761.766000000003</v>
      </c>
      <c r="J22" s="332">
        <v>4100120.248890148</v>
      </c>
      <c r="K22" s="330">
        <v>525145.299</v>
      </c>
      <c r="L22" s="333">
        <v>17146.5</v>
      </c>
      <c r="M22" s="332">
        <v>970581.68599999999</v>
      </c>
      <c r="N22" s="330">
        <v>19369.70681619101</v>
      </c>
      <c r="O22" s="333">
        <v>3120</v>
      </c>
      <c r="P22" s="332">
        <v>80159.858999999997</v>
      </c>
      <c r="Q22" s="333">
        <v>48387.758999999998</v>
      </c>
    </row>
    <row r="23" spans="5:17" ht="30" customHeight="1">
      <c r="E23" s="315" t="s">
        <v>466</v>
      </c>
      <c r="F23" s="328">
        <v>230991.54858738001</v>
      </c>
      <c r="G23" s="329">
        <v>21076.853616384982</v>
      </c>
      <c r="H23" s="330">
        <v>23856.930433701578</v>
      </c>
      <c r="I23" s="331">
        <v>43739.284774350002</v>
      </c>
      <c r="J23" s="332">
        <v>5888810.952071025</v>
      </c>
      <c r="K23" s="330">
        <v>214340</v>
      </c>
      <c r="L23" s="333">
        <v>69</v>
      </c>
      <c r="M23" s="332">
        <v>259861</v>
      </c>
      <c r="N23" s="330">
        <v>10311.244741449998</v>
      </c>
      <c r="O23" s="333">
        <v>331</v>
      </c>
      <c r="P23" s="332">
        <v>105063.302</v>
      </c>
      <c r="Q23" s="333">
        <v>94755.839000000007</v>
      </c>
    </row>
    <row r="24" spans="5:17" ht="30" customHeight="1">
      <c r="E24" s="315" t="s">
        <v>469</v>
      </c>
      <c r="F24" s="328">
        <v>323792.993369648</v>
      </c>
      <c r="G24" s="329">
        <v>24899.051346381693</v>
      </c>
      <c r="H24" s="330">
        <v>30298.211914833872</v>
      </c>
      <c r="I24" s="331">
        <v>154338.43311351762</v>
      </c>
      <c r="J24" s="332">
        <v>12918112.16156131</v>
      </c>
      <c r="K24" s="330">
        <v>173606.79925400001</v>
      </c>
      <c r="L24" s="333">
        <v>35.924755225863002</v>
      </c>
      <c r="M24" s="332">
        <v>889280.55657762301</v>
      </c>
      <c r="N24" s="330">
        <v>6172.5435006287498</v>
      </c>
      <c r="O24" s="333">
        <v>146.77224503641</v>
      </c>
      <c r="P24" s="332">
        <v>118384.05332091611</v>
      </c>
      <c r="Q24" s="333">
        <v>68878.146213929518</v>
      </c>
    </row>
    <row r="25" spans="5:17" ht="30" customHeight="1">
      <c r="E25" s="315" t="s">
        <v>507</v>
      </c>
      <c r="F25" s="328">
        <v>205373.3675947866</v>
      </c>
      <c r="G25" s="329">
        <v>46672.664637967995</v>
      </c>
      <c r="H25" s="330">
        <v>82525.325754220001</v>
      </c>
      <c r="I25" s="331">
        <v>54761.68896105</v>
      </c>
      <c r="J25" s="332">
        <v>2116724.6141202315</v>
      </c>
      <c r="K25" s="330">
        <v>120200</v>
      </c>
      <c r="L25" s="333">
        <v>8473</v>
      </c>
      <c r="M25" s="332">
        <v>546818.28718191001</v>
      </c>
      <c r="N25" s="330">
        <v>21445.895414510003</v>
      </c>
      <c r="O25" s="333">
        <v>574.69375480999997</v>
      </c>
      <c r="P25" s="332">
        <v>49946.220999999998</v>
      </c>
      <c r="Q25" s="333">
        <v>11287.686</v>
      </c>
    </row>
    <row r="26" spans="5:17" ht="30" customHeight="1">
      <c r="E26" s="315" t="s">
        <v>471</v>
      </c>
      <c r="F26" s="328">
        <v>2414659.9732727744</v>
      </c>
      <c r="G26" s="329">
        <v>396150.96410148859</v>
      </c>
      <c r="H26" s="330">
        <v>351346.20245102601</v>
      </c>
      <c r="I26" s="331">
        <v>313259.66521951143</v>
      </c>
      <c r="J26" s="332">
        <v>56572184.993503354</v>
      </c>
      <c r="K26" s="330">
        <v>4491000.7121357583</v>
      </c>
      <c r="L26" s="333">
        <v>255861.42739821313</v>
      </c>
      <c r="M26" s="332">
        <v>23786938.022958066</v>
      </c>
      <c r="N26" s="330">
        <v>186014.79216260699</v>
      </c>
      <c r="O26" s="333">
        <v>10712.8401463464</v>
      </c>
      <c r="P26" s="332">
        <v>1109379.8883798777</v>
      </c>
      <c r="Q26" s="333">
        <v>1238647.0713683756</v>
      </c>
    </row>
    <row r="27" spans="5:17" ht="30" customHeight="1">
      <c r="E27" s="315" t="s">
        <v>473</v>
      </c>
      <c r="F27" s="328">
        <v>934934.3</v>
      </c>
      <c r="G27" s="329">
        <v>120153</v>
      </c>
      <c r="H27" s="330">
        <v>112744</v>
      </c>
      <c r="I27" s="331">
        <v>136282</v>
      </c>
      <c r="J27" s="332">
        <v>19088070.55060555</v>
      </c>
      <c r="K27" s="330">
        <v>172406</v>
      </c>
      <c r="L27" s="333">
        <v>26770</v>
      </c>
      <c r="M27" s="332">
        <v>3445785</v>
      </c>
      <c r="N27" s="330">
        <v>34469</v>
      </c>
      <c r="O27" s="333">
        <v>2601</v>
      </c>
      <c r="P27" s="332">
        <v>469701</v>
      </c>
      <c r="Q27" s="333">
        <v>456301</v>
      </c>
    </row>
    <row r="28" spans="5:17" ht="30" customHeight="1">
      <c r="E28" s="315" t="s">
        <v>474</v>
      </c>
      <c r="F28" s="328">
        <v>686739.46308654896</v>
      </c>
      <c r="G28" s="329">
        <v>91100.21650237967</v>
      </c>
      <c r="H28" s="330">
        <v>52929.119468812773</v>
      </c>
      <c r="I28" s="331">
        <v>173891.97015196012</v>
      </c>
      <c r="J28" s="332">
        <v>10485571.55860276</v>
      </c>
      <c r="K28" s="330">
        <v>579084</v>
      </c>
      <c r="L28" s="333">
        <v>7.3956210000000002</v>
      </c>
      <c r="M28" s="332">
        <v>2593371.5350000001</v>
      </c>
      <c r="N28" s="330">
        <v>19469.662976334497</v>
      </c>
      <c r="O28" s="333">
        <v>6026</v>
      </c>
      <c r="P28" s="332">
        <v>101155</v>
      </c>
      <c r="Q28" s="333">
        <v>125619</v>
      </c>
    </row>
    <row r="29" spans="5:17" ht="30" customHeight="1">
      <c r="E29" s="315" t="s">
        <v>476</v>
      </c>
      <c r="F29" s="328">
        <v>236939.41234585541</v>
      </c>
      <c r="G29" s="329">
        <v>26156.921228235184</v>
      </c>
      <c r="H29" s="330">
        <v>34568.216102561419</v>
      </c>
      <c r="I29" s="331">
        <v>28957</v>
      </c>
      <c r="J29" s="332">
        <v>4124870.8889150168</v>
      </c>
      <c r="K29" s="330">
        <v>210419.52000000002</v>
      </c>
      <c r="L29" s="333">
        <v>0</v>
      </c>
      <c r="M29" s="332">
        <v>448695.977691776</v>
      </c>
      <c r="N29" s="330">
        <v>3771</v>
      </c>
      <c r="O29" s="333">
        <v>3582</v>
      </c>
      <c r="P29" s="332">
        <v>98266</v>
      </c>
      <c r="Q29" s="333">
        <v>109623</v>
      </c>
    </row>
    <row r="30" spans="5:17" ht="30" customHeight="1">
      <c r="E30" s="315" t="s">
        <v>477</v>
      </c>
      <c r="F30" s="328">
        <v>376236.27477390075</v>
      </c>
      <c r="G30" s="329">
        <v>18550.966985513955</v>
      </c>
      <c r="H30" s="330">
        <v>21009.781394594957</v>
      </c>
      <c r="I30" s="331">
        <v>82359.205945693</v>
      </c>
      <c r="J30" s="332">
        <v>2376029.2774501103</v>
      </c>
      <c r="K30" s="330">
        <v>107207.71434506001</v>
      </c>
      <c r="L30" s="333">
        <v>140</v>
      </c>
      <c r="M30" s="332">
        <v>428133.07999619411</v>
      </c>
      <c r="N30" s="330">
        <v>4654.7399186463617</v>
      </c>
      <c r="O30" s="333">
        <v>1697.7059999999999</v>
      </c>
      <c r="P30" s="332">
        <v>17367.192999999999</v>
      </c>
      <c r="Q30" s="333">
        <v>43.866</v>
      </c>
    </row>
    <row r="31" spans="5:17" ht="30" customHeight="1">
      <c r="E31" s="315" t="s">
        <v>509</v>
      </c>
      <c r="F31" s="328">
        <v>312590.79452339001</v>
      </c>
      <c r="G31" s="329">
        <v>132618.01236426999</v>
      </c>
      <c r="H31" s="330">
        <v>125891.151492</v>
      </c>
      <c r="I31" s="331">
        <v>57214.709179080004</v>
      </c>
      <c r="J31" s="332">
        <v>4615120.8438748792</v>
      </c>
      <c r="K31" s="330">
        <v>220710.54218579998</v>
      </c>
      <c r="L31" s="333">
        <v>21621.31</v>
      </c>
      <c r="M31" s="332">
        <v>1228572.8984795304</v>
      </c>
      <c r="N31" s="330">
        <v>26640.922036894004</v>
      </c>
      <c r="O31" s="333">
        <v>2204.18790119</v>
      </c>
      <c r="P31" s="332">
        <v>76883.712</v>
      </c>
      <c r="Q31" s="333">
        <v>31478.994999999999</v>
      </c>
    </row>
    <row r="32" spans="5:17" ht="30" customHeight="1">
      <c r="E32" s="315" t="s">
        <v>479</v>
      </c>
      <c r="F32" s="328">
        <v>999270.27278693754</v>
      </c>
      <c r="G32" s="329">
        <v>46487.78617003929</v>
      </c>
      <c r="H32" s="330">
        <v>42660.66026333355</v>
      </c>
      <c r="I32" s="331">
        <v>210758.066412488</v>
      </c>
      <c r="J32" s="332">
        <v>32207618.697860066</v>
      </c>
      <c r="K32" s="330">
        <v>12206.367055238043</v>
      </c>
      <c r="L32" s="333">
        <v>12180.64051596</v>
      </c>
      <c r="M32" s="332">
        <v>6284904.3979959171</v>
      </c>
      <c r="N32" s="330">
        <v>11441.765621048</v>
      </c>
      <c r="O32" s="333">
        <v>9235.9361864000002</v>
      </c>
      <c r="P32" s="332">
        <v>80653.712351911992</v>
      </c>
      <c r="Q32" s="333">
        <v>136637.87930828001</v>
      </c>
    </row>
    <row r="33" spans="5:18" ht="30" customHeight="1">
      <c r="E33" s="315" t="s">
        <v>481</v>
      </c>
      <c r="F33" s="328">
        <v>253251.52928110558</v>
      </c>
      <c r="G33" s="329">
        <v>2948.3027462559999</v>
      </c>
      <c r="H33" s="330">
        <v>7647.8349512320001</v>
      </c>
      <c r="I33" s="331">
        <v>37491.903555623998</v>
      </c>
      <c r="J33" s="332">
        <v>1021557.7089330708</v>
      </c>
      <c r="K33" s="330">
        <v>0</v>
      </c>
      <c r="L33" s="333">
        <v>0</v>
      </c>
      <c r="M33" s="332">
        <v>134820.6788768</v>
      </c>
      <c r="N33" s="330">
        <v>3418.4958612</v>
      </c>
      <c r="O33" s="333">
        <v>98.356723024000004</v>
      </c>
      <c r="P33" s="332">
        <v>7904.5220088799997</v>
      </c>
      <c r="Q33" s="333">
        <v>7903.3225366480001</v>
      </c>
    </row>
    <row r="34" spans="5:18" ht="30" customHeight="1">
      <c r="E34" s="315" t="s">
        <v>483</v>
      </c>
      <c r="F34" s="328">
        <v>663362.29999999993</v>
      </c>
      <c r="G34" s="329">
        <v>91594</v>
      </c>
      <c r="H34" s="330">
        <v>66764</v>
      </c>
      <c r="I34" s="331">
        <v>234109</v>
      </c>
      <c r="J34" s="332">
        <v>13532755.093936101</v>
      </c>
      <c r="K34" s="330">
        <v>627942</v>
      </c>
      <c r="L34" s="333">
        <v>37233</v>
      </c>
      <c r="M34" s="332">
        <v>6037650</v>
      </c>
      <c r="N34" s="330">
        <v>8533</v>
      </c>
      <c r="O34" s="333">
        <v>2966</v>
      </c>
      <c r="P34" s="332">
        <v>385793</v>
      </c>
      <c r="Q34" s="333">
        <v>312891</v>
      </c>
    </row>
    <row r="35" spans="5:18" ht="30" customHeight="1">
      <c r="E35" s="315" t="s">
        <v>511</v>
      </c>
      <c r="F35" s="328">
        <v>225518.96919999999</v>
      </c>
      <c r="G35" s="329">
        <v>57653.452228000002</v>
      </c>
      <c r="H35" s="330">
        <v>50555.728000000003</v>
      </c>
      <c r="I35" s="331">
        <v>75994.701000000001</v>
      </c>
      <c r="J35" s="332">
        <v>4901116.0484523475</v>
      </c>
      <c r="K35" s="330">
        <v>61635.538999999997</v>
      </c>
      <c r="L35" s="333">
        <v>9309.33</v>
      </c>
      <c r="M35" s="332">
        <v>314917.18800000002</v>
      </c>
      <c r="N35" s="330">
        <v>21668.655999999999</v>
      </c>
      <c r="O35" s="333">
        <v>414.89400000000001</v>
      </c>
      <c r="P35" s="332">
        <v>66154.289000000004</v>
      </c>
      <c r="Q35" s="333">
        <v>28385.895</v>
      </c>
    </row>
    <row r="36" spans="5:18" ht="30" customHeight="1">
      <c r="E36" s="315" t="s">
        <v>485</v>
      </c>
      <c r="F36" s="328">
        <v>731867.1</v>
      </c>
      <c r="G36" s="329">
        <v>45189</v>
      </c>
      <c r="H36" s="330">
        <v>44298</v>
      </c>
      <c r="I36" s="331">
        <v>206914</v>
      </c>
      <c r="J36" s="332">
        <v>18966425.467164461</v>
      </c>
      <c r="K36" s="330">
        <v>8237</v>
      </c>
      <c r="L36" s="333">
        <v>13995</v>
      </c>
      <c r="M36" s="332">
        <v>2821127</v>
      </c>
      <c r="N36" s="330">
        <v>1521</v>
      </c>
      <c r="O36" s="333">
        <v>2438</v>
      </c>
      <c r="P36" s="332">
        <v>232168</v>
      </c>
      <c r="Q36" s="333">
        <v>73823</v>
      </c>
    </row>
    <row r="37" spans="5:18" ht="30" customHeight="1">
      <c r="E37" s="315" t="s">
        <v>487</v>
      </c>
      <c r="F37" s="328">
        <v>1394037.7831221577</v>
      </c>
      <c r="G37" s="329">
        <v>208002.87869558399</v>
      </c>
      <c r="H37" s="330">
        <v>199022.43009459999</v>
      </c>
      <c r="I37" s="331">
        <v>140782.05586984</v>
      </c>
      <c r="J37" s="332">
        <v>47446896.829188056</v>
      </c>
      <c r="K37" s="330">
        <v>61517.332362583998</v>
      </c>
      <c r="L37" s="333">
        <v>115440.806024376</v>
      </c>
      <c r="M37" s="332">
        <v>45795869.009315714</v>
      </c>
      <c r="N37" s="330">
        <v>38064.051810288001</v>
      </c>
      <c r="O37" s="333">
        <v>8109.6317605519998</v>
      </c>
      <c r="P37" s="332">
        <v>460958.37822983199</v>
      </c>
      <c r="Q37" s="333">
        <v>346654.67188139202</v>
      </c>
    </row>
    <row r="38" spans="5:18" ht="30" customHeight="1">
      <c r="E38" s="315" t="s">
        <v>488</v>
      </c>
      <c r="F38" s="328">
        <v>1379106.7149738988</v>
      </c>
      <c r="G38" s="329">
        <v>102202.22977150943</v>
      </c>
      <c r="H38" s="330">
        <v>128858.697</v>
      </c>
      <c r="I38" s="331">
        <v>275850.44789999997</v>
      </c>
      <c r="J38" s="332">
        <v>11527072.658070989</v>
      </c>
      <c r="K38" s="330">
        <v>874230.26794899709</v>
      </c>
      <c r="L38" s="333">
        <v>27431.685517187758</v>
      </c>
      <c r="M38" s="332">
        <v>3815072</v>
      </c>
      <c r="N38" s="330">
        <v>26710.493385524998</v>
      </c>
      <c r="O38" s="333">
        <v>1431.3810000000001</v>
      </c>
      <c r="P38" s="332">
        <v>732557.54212299967</v>
      </c>
      <c r="Q38" s="333">
        <v>651697.60428600013</v>
      </c>
    </row>
    <row r="39" spans="5:18" ht="30" customHeight="1">
      <c r="E39" s="315" t="s">
        <v>490</v>
      </c>
      <c r="F39" s="328">
        <v>281513.48272757203</v>
      </c>
      <c r="G39" s="329">
        <v>38748.401933072746</v>
      </c>
      <c r="H39" s="330">
        <v>47734.808126290118</v>
      </c>
      <c r="I39" s="331">
        <v>104141.74561726932</v>
      </c>
      <c r="J39" s="332">
        <v>5428709.1833614521</v>
      </c>
      <c r="K39" s="330">
        <v>672528.81011399999</v>
      </c>
      <c r="L39" s="333">
        <v>20149.226632975548</v>
      </c>
      <c r="M39" s="332">
        <v>1392197.145655635</v>
      </c>
      <c r="N39" s="330">
        <v>21240.344523957374</v>
      </c>
      <c r="O39" s="333">
        <v>2907.1801786649999</v>
      </c>
      <c r="P39" s="332">
        <v>123824.71110175231</v>
      </c>
      <c r="Q39" s="333">
        <v>139191.32758651418</v>
      </c>
      <c r="R39" s="334"/>
    </row>
    <row r="40" spans="5:18" ht="30" customHeight="1">
      <c r="E40" s="315" t="s">
        <v>491</v>
      </c>
      <c r="F40" s="328">
        <v>1296685.1514638928</v>
      </c>
      <c r="G40" s="329">
        <v>109774.20223207081</v>
      </c>
      <c r="H40" s="330">
        <v>199270.2869361396</v>
      </c>
      <c r="I40" s="331">
        <v>220094.46593405452</v>
      </c>
      <c r="J40" s="332">
        <v>23531908.421071917</v>
      </c>
      <c r="K40" s="330">
        <v>3545000</v>
      </c>
      <c r="L40" s="333">
        <v>77258.167379000006</v>
      </c>
      <c r="M40" s="332">
        <v>18272869.093686</v>
      </c>
      <c r="N40" s="330">
        <v>122708.93119838923</v>
      </c>
      <c r="O40" s="333">
        <v>5780.6083840000001</v>
      </c>
      <c r="P40" s="332">
        <v>438088</v>
      </c>
      <c r="Q40" s="333">
        <v>348589.91049861</v>
      </c>
      <c r="R40" s="334"/>
    </row>
    <row r="41" spans="5:18" ht="30" customHeight="1">
      <c r="E41" s="315" t="s">
        <v>493</v>
      </c>
      <c r="F41" s="328">
        <v>583762.79493429174</v>
      </c>
      <c r="G41" s="329">
        <v>138732.74425649073</v>
      </c>
      <c r="H41" s="330">
        <v>87292.0008025555</v>
      </c>
      <c r="I41" s="331">
        <v>90505.5470505798</v>
      </c>
      <c r="J41" s="332">
        <v>14221183.393390618</v>
      </c>
      <c r="K41" s="330">
        <v>587922.47305757832</v>
      </c>
      <c r="L41" s="333">
        <v>88362.700267519001</v>
      </c>
      <c r="M41" s="332">
        <v>3970144.2950158538</v>
      </c>
      <c r="N41" s="330">
        <v>48551.229038102996</v>
      </c>
      <c r="O41" s="333">
        <v>3236.8936246559997</v>
      </c>
      <c r="P41" s="332">
        <v>396599.95629462897</v>
      </c>
      <c r="Q41" s="333">
        <v>361186.280726848</v>
      </c>
    </row>
    <row r="42" spans="5:18" ht="30" customHeight="1">
      <c r="E42" s="315" t="s">
        <v>495</v>
      </c>
      <c r="F42" s="328">
        <v>218642.36201695254</v>
      </c>
      <c r="G42" s="329">
        <v>23202.732020163341</v>
      </c>
      <c r="H42" s="330">
        <v>18355.597577633223</v>
      </c>
      <c r="I42" s="331">
        <v>84953.317005785037</v>
      </c>
      <c r="J42" s="332">
        <v>3043025.4850084134</v>
      </c>
      <c r="K42" s="330">
        <v>169762.10262620778</v>
      </c>
      <c r="L42" s="333">
        <v>35.086633974587997</v>
      </c>
      <c r="M42" s="332">
        <v>1433273.1693765672</v>
      </c>
      <c r="N42" s="330">
        <v>4362.0981681187113</v>
      </c>
      <c r="O42" s="333">
        <v>21.44687377</v>
      </c>
      <c r="P42" s="332">
        <v>32446.085003634529</v>
      </c>
      <c r="Q42" s="333">
        <v>144960.29954652203</v>
      </c>
    </row>
    <row r="43" spans="5:18" ht="21.75" thickBot="1">
      <c r="E43" s="315" t="s">
        <v>497</v>
      </c>
      <c r="F43" s="335">
        <v>1004589.7801410151</v>
      </c>
      <c r="G43" s="336">
        <v>143438.99851471002</v>
      </c>
      <c r="H43" s="337">
        <v>106319.15267708609</v>
      </c>
      <c r="I43" s="338">
        <v>195001.283</v>
      </c>
      <c r="J43" s="339">
        <v>6969024.1521668797</v>
      </c>
      <c r="K43" s="337">
        <v>504908.152</v>
      </c>
      <c r="L43" s="340">
        <v>62564.722000000002</v>
      </c>
      <c r="M43" s="339">
        <v>2704552.5159999998</v>
      </c>
      <c r="N43" s="337">
        <v>5254.7049999999999</v>
      </c>
      <c r="O43" s="340">
        <v>7412</v>
      </c>
      <c r="P43" s="339">
        <v>433361.88494366989</v>
      </c>
      <c r="Q43" s="340">
        <v>410000.17754658993</v>
      </c>
    </row>
    <row r="44" spans="5:18">
      <c r="F44" s="341"/>
      <c r="G44" s="342"/>
      <c r="H44" s="334"/>
      <c r="I44" s="334"/>
      <c r="J44" s="334"/>
      <c r="K44" s="334"/>
      <c r="L44" s="334"/>
      <c r="M44" s="334"/>
      <c r="N44" s="334"/>
      <c r="O44" s="334"/>
      <c r="P44" s="334"/>
      <c r="Q44" s="334"/>
    </row>
    <row r="45" spans="5:18">
      <c r="F45" s="341"/>
      <c r="G45" s="342"/>
      <c r="H45" s="334"/>
      <c r="I45" s="334"/>
      <c r="J45" s="334"/>
      <c r="K45" s="334"/>
      <c r="L45" s="334"/>
      <c r="M45" s="334"/>
      <c r="N45" s="334"/>
      <c r="O45" s="334"/>
      <c r="P45" s="343" t="s">
        <v>535</v>
      </c>
      <c r="Q45" s="253">
        <f ca="1">+NOW()</f>
        <v>42312.468564351853</v>
      </c>
    </row>
    <row r="46" spans="5:18">
      <c r="F46" s="341"/>
      <c r="G46" s="342"/>
      <c r="H46" s="334"/>
      <c r="I46" s="334"/>
      <c r="J46" s="334"/>
      <c r="K46" s="334"/>
      <c r="L46" s="334"/>
      <c r="M46" s="334"/>
      <c r="N46" s="334"/>
      <c r="O46" s="334"/>
      <c r="P46" s="334"/>
      <c r="Q46" s="334"/>
    </row>
    <row r="47" spans="5:18">
      <c r="F47" s="341"/>
      <c r="G47" s="342"/>
      <c r="H47" s="334"/>
      <c r="I47" s="334"/>
      <c r="J47" s="334"/>
      <c r="K47" s="334"/>
      <c r="L47" s="334"/>
      <c r="M47" s="334"/>
      <c r="N47" s="334"/>
      <c r="O47" s="334"/>
      <c r="P47" s="334"/>
      <c r="Q47" s="334"/>
    </row>
    <row r="48" spans="5:18">
      <c r="F48" s="341"/>
      <c r="G48" s="342"/>
      <c r="H48" s="334"/>
      <c r="I48" s="334"/>
      <c r="J48" s="334"/>
      <c r="K48" s="334"/>
      <c r="L48" s="334"/>
      <c r="M48" s="334"/>
      <c r="N48" s="334"/>
      <c r="O48" s="334"/>
      <c r="P48" s="334"/>
      <c r="Q48" s="334"/>
    </row>
    <row r="49" spans="6:17">
      <c r="F49" s="341"/>
      <c r="G49" s="342"/>
      <c r="H49" s="334"/>
      <c r="I49" s="334"/>
      <c r="J49" s="334"/>
      <c r="K49" s="334"/>
      <c r="L49" s="334"/>
      <c r="M49" s="334"/>
      <c r="N49" s="334"/>
      <c r="O49" s="334"/>
      <c r="P49" s="334"/>
      <c r="Q49" s="334"/>
    </row>
    <row r="50" spans="6:17">
      <c r="F50" s="341"/>
      <c r="G50" s="342"/>
      <c r="H50" s="334"/>
      <c r="I50" s="334"/>
      <c r="J50" s="334"/>
      <c r="K50" s="334"/>
      <c r="L50" s="334"/>
      <c r="M50" s="334"/>
      <c r="N50" s="334"/>
      <c r="O50" s="334"/>
      <c r="P50" s="334"/>
      <c r="Q50" s="334"/>
    </row>
    <row r="51" spans="6:17" ht="15.75" customHeight="1">
      <c r="F51" s="341"/>
      <c r="G51" s="342"/>
      <c r="H51" s="334"/>
      <c r="I51" s="334"/>
      <c r="J51" s="334"/>
      <c r="K51" s="334"/>
      <c r="L51" s="334"/>
      <c r="M51" s="334"/>
      <c r="N51" s="334"/>
      <c r="O51" s="334"/>
      <c r="P51" s="334"/>
      <c r="Q51" s="334"/>
    </row>
    <row r="52" spans="6:17" ht="15.75" customHeight="1"/>
    <row r="53" spans="6:17" ht="15.75" customHeight="1"/>
    <row r="54" spans="6:17" ht="15.75" customHeight="1"/>
    <row r="55" spans="6:17" ht="15.75" customHeight="1"/>
    <row r="56" spans="6:17" ht="15.75" customHeight="1"/>
    <row r="57" spans="6:17" ht="15.75" customHeight="1"/>
    <row r="58" spans="6:17" ht="15.75" customHeight="1"/>
    <row r="59" spans="6:17" ht="15.75" customHeight="1"/>
    <row r="60" spans="6:17" ht="15.75" customHeight="1"/>
  </sheetData>
  <sheetProtection password="D63A" sheet="1" objects="1" scenarios="1"/>
  <mergeCells count="7">
    <mergeCell ref="F5:Q5"/>
    <mergeCell ref="F2:Q2"/>
    <mergeCell ref="F3:Q3"/>
    <mergeCell ref="G4:I4"/>
    <mergeCell ref="J4:L4"/>
    <mergeCell ref="M4:O4"/>
    <mergeCell ref="P4:Q4"/>
  </mergeCells>
  <printOptions horizontalCentered="1" verticalCentered="1"/>
  <pageMargins left="0.15748031496062992" right="0.15748031496062992" top="0.55118110236220474" bottom="0.55118110236220474" header="0.23622047244094491" footer="0.23622047244094491"/>
  <pageSetup paperSize="9" scale="39" orientation="landscape" r:id="rId1"/>
  <headerFooter>
    <oddFooter>&amp;LEuropean Banking Authority&amp;CMinimum level of disclosure, as prescribed by the BCBS documents and methodology - 12 Indicators for assessing systemic importance&amp;REnd-2013 G-SII disclosure exercise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V170"/>
  <sheetViews>
    <sheetView showGridLines="0" view="pageBreakPreview" zoomScale="90" zoomScaleNormal="100" zoomScaleSheetLayoutView="90" workbookViewId="0">
      <selection activeCell="M19" sqref="M19"/>
    </sheetView>
  </sheetViews>
  <sheetFormatPr defaultColWidth="0" defaultRowHeight="15" customHeight="1" zeroHeight="1"/>
  <cols>
    <col min="1" max="1" width="1.28515625" style="255" customWidth="1"/>
    <col min="2" max="20" width="9.140625" style="255" customWidth="1"/>
    <col min="21" max="21" width="3.5703125" style="255" customWidth="1"/>
    <col min="22" max="22" width="1.85546875" style="255" customWidth="1"/>
    <col min="23" max="16384" width="9.140625" style="255" hidden="1"/>
  </cols>
  <sheetData>
    <row r="1" spans="2:21" ht="9.9499999999999993" customHeight="1"/>
    <row r="2" spans="2:21" s="257" customFormat="1" ht="24.95" customHeight="1">
      <c r="B2" s="256" t="s">
        <v>676</v>
      </c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6"/>
      <c r="S2" s="256"/>
      <c r="T2" s="256"/>
      <c r="U2" s="256"/>
    </row>
    <row r="3" spans="2:21"/>
    <row r="4" spans="2:21"/>
    <row r="5" spans="2:21"/>
    <row r="6" spans="2:21"/>
    <row r="7" spans="2:21"/>
    <row r="8" spans="2:21"/>
    <row r="9" spans="2:21"/>
    <row r="10" spans="2:21"/>
    <row r="11" spans="2:21"/>
    <row r="12" spans="2:21"/>
    <row r="13" spans="2:21"/>
    <row r="14" spans="2:21"/>
    <row r="15" spans="2:21"/>
    <row r="16" spans="2:21"/>
    <row r="17" spans="2:21"/>
    <row r="18" spans="2:21"/>
    <row r="19" spans="2:21"/>
    <row r="20" spans="2:21"/>
    <row r="21" spans="2:21" ht="15" customHeight="1"/>
    <row r="22" spans="2:21" s="257" customFormat="1" ht="24.95" customHeight="1">
      <c r="B22" s="258" t="s">
        <v>519</v>
      </c>
      <c r="C22" s="258"/>
      <c r="D22" s="258"/>
      <c r="E22" s="258"/>
      <c r="F22" s="258"/>
      <c r="G22" s="258"/>
      <c r="H22" s="258"/>
      <c r="I22" s="258"/>
      <c r="J22" s="258"/>
      <c r="K22" s="258"/>
      <c r="L22" s="258"/>
      <c r="M22" s="258"/>
      <c r="N22" s="258"/>
      <c r="O22" s="258"/>
      <c r="P22" s="258"/>
      <c r="Q22" s="258"/>
      <c r="R22" s="258"/>
      <c r="S22" s="258"/>
      <c r="T22" s="258"/>
      <c r="U22" s="258"/>
    </row>
    <row r="23" spans="2:21"/>
    <row r="24" spans="2:21"/>
    <row r="25" spans="2:21"/>
    <row r="26" spans="2:21"/>
    <row r="27" spans="2:21"/>
    <row r="28" spans="2:21"/>
    <row r="29" spans="2:21"/>
    <row r="30" spans="2:21"/>
    <row r="31" spans="2:21"/>
    <row r="32" spans="2:21"/>
    <row r="33" spans="2:21"/>
    <row r="34" spans="2:21"/>
    <row r="35" spans="2:21"/>
    <row r="36" spans="2:21"/>
    <row r="37" spans="2:21"/>
    <row r="38" spans="2:21"/>
    <row r="39" spans="2:21" ht="27" customHeight="1"/>
    <row r="40" spans="2:21" ht="27" customHeight="1"/>
    <row r="41" spans="2:21" ht="27" customHeight="1"/>
    <row r="42" spans="2:21" ht="9.9499999999999993" customHeight="1"/>
    <row r="43" spans="2:21" s="257" customFormat="1" ht="24.95" customHeight="1">
      <c r="B43" s="259" t="s">
        <v>520</v>
      </c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</row>
    <row r="44" spans="2:21"/>
    <row r="45" spans="2:21"/>
    <row r="46" spans="2:21"/>
    <row r="47" spans="2:21"/>
    <row r="48" spans="2:21"/>
    <row r="49"/>
    <row r="50"/>
    <row r="51"/>
    <row r="52"/>
    <row r="53"/>
    <row r="54"/>
    <row r="55"/>
    <row r="56"/>
    <row r="57"/>
    <row r="58"/>
    <row r="59"/>
    <row r="60"/>
    <row r="6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  <row r="78" ht="15" customHeight="1"/>
    <row r="79" ht="15" customHeight="1"/>
    <row r="80" ht="15" customHeight="1"/>
    <row r="81" spans="2:21" ht="15" customHeight="1"/>
    <row r="82" spans="2:21" ht="15" customHeight="1"/>
    <row r="83" spans="2:21" ht="15" customHeight="1"/>
    <row r="84" spans="2:21" ht="15" customHeight="1"/>
    <row r="85" spans="2:21" ht="15" customHeight="1"/>
    <row r="86" spans="2:21" ht="15" customHeight="1"/>
    <row r="87" spans="2:21" ht="15" customHeight="1"/>
    <row r="88" spans="2:21" ht="15" customHeight="1"/>
    <row r="89" spans="2:21" ht="15" customHeight="1"/>
    <row r="90" spans="2:21" ht="9.75" customHeight="1"/>
    <row r="91" spans="2:21" s="257" customFormat="1" ht="24.95" customHeight="1">
      <c r="B91" s="260" t="s">
        <v>521</v>
      </c>
      <c r="C91" s="260"/>
      <c r="D91" s="260"/>
      <c r="E91" s="260"/>
      <c r="F91" s="260"/>
      <c r="G91" s="260"/>
      <c r="H91" s="260"/>
      <c r="I91" s="260"/>
      <c r="J91" s="260"/>
      <c r="K91" s="260"/>
      <c r="L91" s="260"/>
      <c r="M91" s="260"/>
      <c r="N91" s="260"/>
      <c r="O91" s="260"/>
      <c r="P91" s="260"/>
      <c r="Q91" s="260"/>
      <c r="R91" s="260"/>
      <c r="S91" s="260"/>
      <c r="T91" s="260"/>
      <c r="U91" s="260"/>
    </row>
    <row r="92" spans="2:21" ht="15" customHeight="1"/>
    <row r="93" spans="2:21" ht="15" customHeight="1"/>
    <row r="94" spans="2:21" ht="15" customHeight="1"/>
    <row r="95" spans="2:21" ht="15" customHeight="1"/>
    <row r="96" spans="2:21" ht="15" customHeight="1"/>
    <row r="97" ht="15" customHeight="1"/>
    <row r="98" ht="15" customHeight="1"/>
    <row r="99" ht="15" customHeight="1"/>
    <row r="100" ht="15" customHeight="1"/>
    <row r="101" ht="15" customHeight="1"/>
    <row r="102" ht="15" customHeight="1"/>
    <row r="103" ht="15" customHeight="1"/>
    <row r="104" ht="15" customHeight="1"/>
    <row r="105" ht="15" customHeight="1"/>
    <row r="106" ht="15" customHeight="1"/>
    <row r="107" ht="15" customHeight="1"/>
    <row r="108" ht="15" customHeight="1"/>
    <row r="109" ht="15" customHeight="1"/>
    <row r="110" ht="15" customHeight="1"/>
    <row r="111" ht="15" customHeight="1"/>
    <row r="112" ht="15" customHeight="1"/>
    <row r="113" spans="2:21" ht="15" customHeight="1"/>
    <row r="114" spans="2:21" s="262" customFormat="1" ht="24.95" customHeight="1">
      <c r="B114" s="261" t="s">
        <v>522</v>
      </c>
      <c r="C114" s="261"/>
      <c r="D114" s="261"/>
      <c r="E114" s="261"/>
      <c r="F114" s="261"/>
      <c r="G114" s="261"/>
      <c r="H114" s="261"/>
      <c r="I114" s="261"/>
      <c r="J114" s="261"/>
      <c r="K114" s="261"/>
      <c r="L114" s="261"/>
      <c r="M114" s="261"/>
      <c r="N114" s="261"/>
      <c r="O114" s="261"/>
      <c r="P114" s="261"/>
      <c r="Q114" s="261"/>
      <c r="R114" s="261"/>
      <c r="S114" s="261"/>
      <c r="T114" s="261"/>
      <c r="U114" s="261"/>
    </row>
    <row r="115" spans="2:21" ht="15" customHeight="1"/>
    <row r="116" spans="2:21" ht="15" customHeight="1"/>
    <row r="117" spans="2:21" ht="15" customHeight="1"/>
    <row r="118" spans="2:21" ht="15" customHeight="1"/>
    <row r="119" spans="2:21" ht="15" customHeight="1"/>
    <row r="120" spans="2:21" ht="15" customHeight="1"/>
    <row r="121" spans="2:21" ht="15" customHeight="1"/>
    <row r="122" spans="2:21" ht="15" customHeight="1"/>
    <row r="123" spans="2:21" ht="15" customHeight="1"/>
    <row r="124" spans="2:21" ht="15" customHeight="1"/>
    <row r="125" spans="2:21" ht="15" customHeight="1"/>
    <row r="126" spans="2:21" ht="15" customHeight="1"/>
    <row r="127" spans="2:21" ht="15" customHeight="1"/>
    <row r="128" spans="2:21" ht="15" customHeight="1"/>
    <row r="129" ht="15" customHeight="1"/>
    <row r="130" ht="15" customHeight="1"/>
    <row r="131" ht="15" customHeight="1"/>
    <row r="132" ht="15" customHeight="1"/>
    <row r="133" ht="15" customHeight="1"/>
    <row r="134"/>
    <row r="135"/>
    <row r="136"/>
    <row r="137"/>
    <row r="138"/>
    <row r="139"/>
    <row r="140"/>
    <row r="141"/>
    <row r="142"/>
    <row r="143"/>
    <row r="144"/>
    <row r="145"/>
    <row r="146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/>
    <row r="163"/>
    <row r="164"/>
    <row r="165"/>
    <row r="166"/>
    <row r="167"/>
    <row r="168"/>
    <row r="169"/>
    <row r="170"/>
  </sheetData>
  <sheetProtection password="D63A" sheet="1" objects="1" scenarios="1"/>
  <printOptions horizontalCentered="1"/>
  <pageMargins left="0.70866141732283472" right="0.70866141732283472" top="0.55118110236220474" bottom="0.55118110236220474" header="0.31496062992125984" footer="0.11811023622047245"/>
  <pageSetup paperSize="9" scale="73" fitToHeight="3" orientation="landscape" r:id="rId1"/>
  <headerFooter>
    <oddHeader>&amp;LEuropean Banking Authority&amp;REnd-2014 G-SII disclosure exercise</oddHeader>
  </headerFooter>
  <rowBreaks count="2" manualBreakCount="2">
    <brk id="41" max="20" man="1"/>
    <brk id="89" max="20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9" tint="-0.249977111117893"/>
    <pageSetUpPr fitToPage="1"/>
  </sheetPr>
  <dimension ref="A1:AA171"/>
  <sheetViews>
    <sheetView showGridLines="0" view="pageBreakPreview" zoomScale="85" zoomScaleNormal="100" zoomScaleSheetLayoutView="85" workbookViewId="0">
      <selection activeCell="M2" sqref="M2"/>
    </sheetView>
  </sheetViews>
  <sheetFormatPr defaultColWidth="0" defaultRowHeight="0" customHeight="1" zeroHeight="1"/>
  <cols>
    <col min="1" max="1" width="1.28515625" style="345" customWidth="1"/>
    <col min="2" max="20" width="9.140625" style="345" customWidth="1"/>
    <col min="21" max="22" width="3.5703125" style="345" customWidth="1"/>
    <col min="23" max="23" width="33" style="345" hidden="1" customWidth="1"/>
    <col min="24" max="24" width="27.140625" style="360" hidden="1" customWidth="1"/>
    <col min="25" max="26" width="10.28515625" style="361" hidden="1" customWidth="1"/>
    <col min="27" max="27" width="14.42578125" style="361" hidden="1" customWidth="1"/>
    <col min="28" max="29" width="9.140625" style="345" hidden="1" customWidth="1"/>
    <col min="30" max="16384" width="9.140625" style="345" hidden="1"/>
  </cols>
  <sheetData>
    <row r="1" spans="2:27" ht="8.1" customHeight="1" thickBot="1"/>
    <row r="2" spans="2:27" s="356" customFormat="1" ht="19.5" thickBot="1">
      <c r="B2" s="452" t="s">
        <v>530</v>
      </c>
      <c r="C2" s="453"/>
      <c r="D2" s="453"/>
      <c r="E2" s="453"/>
      <c r="F2" s="454"/>
      <c r="G2" s="357"/>
      <c r="H2" s="357" t="s">
        <v>671</v>
      </c>
      <c r="I2" s="358"/>
      <c r="J2" s="358"/>
      <c r="K2" s="358"/>
      <c r="L2" s="358"/>
      <c r="M2" s="358"/>
      <c r="N2" s="358"/>
      <c r="O2" s="358"/>
      <c r="P2" s="358"/>
      <c r="Q2" s="358"/>
      <c r="R2" s="358"/>
      <c r="T2" s="359" t="s">
        <v>670</v>
      </c>
      <c r="X2" s="362"/>
      <c r="Y2" s="363"/>
      <c r="Z2" s="363"/>
      <c r="AA2" s="363"/>
    </row>
    <row r="3" spans="2:27" s="347" customFormat="1" ht="8.1" customHeight="1">
      <c r="T3" s="355"/>
      <c r="U3" s="355"/>
      <c r="V3" s="346"/>
      <c r="W3" s="346"/>
      <c r="X3" s="364"/>
      <c r="Y3" s="365"/>
      <c r="Z3" s="365"/>
      <c r="AA3" s="368"/>
    </row>
    <row r="4" spans="2:27" ht="15"/>
    <row r="5" spans="2:27" ht="15"/>
    <row r="6" spans="2:27" ht="15"/>
    <row r="7" spans="2:27" ht="15"/>
    <row r="8" spans="2:27" ht="15"/>
    <row r="9" spans="2:27" ht="15">
      <c r="Y9" s="361">
        <v>2013</v>
      </c>
      <c r="Z9" s="361">
        <v>2014</v>
      </c>
      <c r="AA9" s="361" t="s">
        <v>672</v>
      </c>
    </row>
    <row r="10" spans="2:27" ht="15">
      <c r="W10" s="350" t="s">
        <v>668</v>
      </c>
      <c r="X10" s="360" t="s">
        <v>444</v>
      </c>
      <c r="Y10" s="370">
        <f>INDEX('Summary - 2013'!$E$6:$Q$43,MATCH('Charts - 2yr'!$X10,'Summary - 2013'!$E$6:$E$43,0),MATCH($B$2,'Summary - 2013'!$E$6:$Q$6,0))</f>
        <v>4056.2559999999999</v>
      </c>
      <c r="Z10" s="370">
        <f>INDEX('Summary - 2014'!$E$6:$Q$43,MATCH('Charts - 2yr'!$X10,'Summary - 2014'!$E$6:$E$43,0),MATCH($B$2,'Summary - 2014'!$E$6:$Q$6,0))</f>
        <v>5587.6459563333301</v>
      </c>
      <c r="AA10" s="369">
        <f>IFERROR(Z10/Y10-1,"")</f>
        <v>0.37753779749930239</v>
      </c>
    </row>
    <row r="11" spans="2:27" ht="15">
      <c r="W11" s="351" t="s">
        <v>525</v>
      </c>
      <c r="X11" s="360" t="s">
        <v>446</v>
      </c>
      <c r="Y11" s="370">
        <f>INDEX('Summary - 2013'!$E$6:$Q$43,MATCH('Charts - 2yr'!$X11,'Summary - 2013'!$E$6:$E$43,0),MATCH($B$2,'Summary - 2013'!$E$6:$Q$6,0))</f>
        <v>12437.833000000001</v>
      </c>
      <c r="Z11" s="370">
        <f>INDEX('Summary - 2014'!$E$6:$Q$43,MATCH('Charts - 2yr'!$X11,'Summary - 2014'!$E$6:$E$43,0),MATCH($B$2,'Summary - 2014'!$E$6:$Q$6,0))</f>
        <v>2662.3090538869606</v>
      </c>
      <c r="AA11" s="369">
        <f t="shared" ref="AA11:AA15" si="0">IFERROR(Z11/Y11-1,"")</f>
        <v>-0.78595073161965101</v>
      </c>
    </row>
    <row r="12" spans="2:27" ht="15">
      <c r="W12" s="351" t="s">
        <v>526</v>
      </c>
      <c r="X12" s="360" t="s">
        <v>448</v>
      </c>
      <c r="Y12" s="370">
        <f>INDEX('Summary - 2013'!$E$6:$Q$43,MATCH('Charts - 2yr'!$X12,'Summary - 2013'!$E$6:$E$43,0),MATCH($B$2,'Summary - 2013'!$E$6:$Q$6,0))</f>
        <v>0</v>
      </c>
      <c r="Z12" s="370">
        <f>INDEX('Summary - 2014'!$E$6:$Q$43,MATCH('Charts - 2yr'!$X12,'Summary - 2014'!$E$6:$E$43,0),MATCH($B$2,'Summary - 2014'!$E$6:$Q$6,0))</f>
        <v>0</v>
      </c>
      <c r="AA12" s="369" t="str">
        <f t="shared" si="0"/>
        <v/>
      </c>
    </row>
    <row r="13" spans="2:27" ht="15">
      <c r="W13" s="351" t="s">
        <v>527</v>
      </c>
      <c r="X13" s="360" t="s">
        <v>450</v>
      </c>
      <c r="Y13" s="370">
        <f>INDEX('Summary - 2013'!$E$6:$Q$43,MATCH('Charts - 2yr'!$X13,'Summary - 2013'!$E$6:$E$43,0),MATCH($B$2,'Summary - 2013'!$E$6:$Q$6,0))</f>
        <v>312619.73914791254</v>
      </c>
      <c r="Z13" s="370">
        <f>INDEX('Summary - 2014'!$E$6:$Q$43,MATCH('Charts - 2yr'!$X13,'Summary - 2014'!$E$6:$E$43,0),MATCH($B$2,'Summary - 2014'!$E$6:$Q$6,0))</f>
        <v>333114.11598432652</v>
      </c>
      <c r="AA13" s="369">
        <f t="shared" si="0"/>
        <v>6.5556886754093657E-2</v>
      </c>
    </row>
    <row r="14" spans="2:27" ht="15">
      <c r="W14" s="352" t="s">
        <v>528</v>
      </c>
      <c r="X14" s="360" t="s">
        <v>499</v>
      </c>
      <c r="Y14" s="370">
        <f>INDEX('Summary - 2013'!$E$6:$Q$43,MATCH('Charts - 2yr'!$X14,'Summary - 2013'!$E$6:$E$43,0),MATCH($B$2,'Summary - 2013'!$E$6:$Q$6,0))</f>
        <v>6952.9765024438457</v>
      </c>
      <c r="Z14" s="370">
        <f>INDEX('Summary - 2014'!$E$6:$Q$43,MATCH('Charts - 2yr'!$X14,'Summary - 2014'!$E$6:$E$43,0),MATCH($B$2,'Summary - 2014'!$E$6:$Q$6,0))</f>
        <v>9380.5370000000003</v>
      </c>
      <c r="AA14" s="369">
        <f t="shared" si="0"/>
        <v>0.34913975283864551</v>
      </c>
    </row>
    <row r="15" spans="2:27" ht="15">
      <c r="W15" s="352" t="s">
        <v>529</v>
      </c>
      <c r="X15" s="360" t="s">
        <v>453</v>
      </c>
      <c r="Y15" s="370">
        <f>INDEX('Summary - 2013'!$E$6:$Q$43,MATCH('Charts - 2yr'!$X15,'Summary - 2013'!$E$6:$E$43,0),MATCH($B$2,'Summary - 2013'!$E$6:$Q$6,0))</f>
        <v>26197.778999999999</v>
      </c>
      <c r="Z15" s="370">
        <f>INDEX('Summary - 2014'!$E$6:$Q$43,MATCH('Charts - 2yr'!$X15,'Summary - 2014'!$E$6:$E$43,0),MATCH($B$2,'Summary - 2014'!$E$6:$Q$6,0))</f>
        <v>31434.799999999999</v>
      </c>
      <c r="AA15" s="369">
        <f t="shared" si="0"/>
        <v>0.19990324370627</v>
      </c>
    </row>
    <row r="16" spans="2:27" ht="15">
      <c r="W16" s="352" t="s">
        <v>530</v>
      </c>
      <c r="X16" s="360" t="s">
        <v>647</v>
      </c>
      <c r="Y16" s="370" t="str">
        <f>INDEX('Summary - 2013'!$E$6:$Q$43,MATCH('Charts - 2yr'!$X16,'Summary - 2013'!$E$6:$E$43,0),MATCH($B$2,'Summary - 2013'!$E$6:$Q$6,0))</f>
        <v>-</v>
      </c>
      <c r="Z16" s="370">
        <f>INDEX('Summary - 2014'!$E$6:$Q$43,MATCH('Charts - 2yr'!$X16,'Summary - 2014'!$E$6:$E$43,0),MATCH($B$2,'Summary - 2014'!$E$6:$Q$6,0))</f>
        <v>815.36741572000005</v>
      </c>
      <c r="AA16" s="369" t="str">
        <f>IFERROR(Z16/Y16-1,"")</f>
        <v/>
      </c>
    </row>
    <row r="17" spans="2:27" ht="15">
      <c r="W17" s="353" t="s">
        <v>669</v>
      </c>
      <c r="X17" s="360" t="s">
        <v>455</v>
      </c>
      <c r="Y17" s="370">
        <f>INDEX('Summary - 2013'!$E$6:$Q$43,MATCH('Charts - 2yr'!$X17,'Summary - 2013'!$E$6:$E$43,0),MATCH($B$2,'Summary - 2013'!$E$6:$Q$6,0))</f>
        <v>189229.79399329654</v>
      </c>
      <c r="Z17" s="370">
        <f>INDEX('Summary - 2014'!$E$6:$Q$43,MATCH('Charts - 2yr'!$X17,'Summary - 2014'!$E$6:$E$43,0),MATCH($B$2,'Summary - 2014'!$E$6:$Q$6,0))</f>
        <v>161588.16982538512</v>
      </c>
      <c r="AA17" s="369">
        <f t="shared" ref="AA17:AA46" si="1">IFERROR(Z17/Y17-1,"")</f>
        <v>-0.1460743764741963</v>
      </c>
    </row>
    <row r="18" spans="2:27" ht="15">
      <c r="W18" s="353" t="s">
        <v>531</v>
      </c>
      <c r="X18" s="360" t="s">
        <v>457</v>
      </c>
      <c r="Y18" s="370">
        <f>INDEX('Summary - 2013'!$E$6:$Q$43,MATCH('Charts - 2yr'!$X18,'Summary - 2013'!$E$6:$E$43,0),MATCH($B$2,'Summary - 2013'!$E$6:$Q$6,0))</f>
        <v>48513</v>
      </c>
      <c r="Z18" s="370">
        <f>INDEX('Summary - 2014'!$E$6:$Q$43,MATCH('Charts - 2yr'!$X18,'Summary - 2014'!$E$6:$E$43,0),MATCH($B$2,'Summary - 2014'!$E$6:$Q$6,0))</f>
        <v>36346.345378214486</v>
      </c>
      <c r="AA18" s="369">
        <f t="shared" si="1"/>
        <v>-0.25079163568085905</v>
      </c>
    </row>
    <row r="19" spans="2:27" ht="15">
      <c r="W19" s="353" t="s">
        <v>532</v>
      </c>
      <c r="X19" s="360" t="s">
        <v>501</v>
      </c>
      <c r="Y19" s="370">
        <f>INDEX('Summary - 2013'!$E$6:$Q$43,MATCH('Charts - 2yr'!$X19,'Summary - 2013'!$E$6:$E$43,0),MATCH($B$2,'Summary - 2013'!$E$6:$Q$6,0))</f>
        <v>25429</v>
      </c>
      <c r="Z19" s="370">
        <f>INDEX('Summary - 2014'!$E$6:$Q$43,MATCH('Charts - 2yr'!$X19,'Summary - 2014'!$E$6:$E$43,0),MATCH($B$2,'Summary - 2014'!$E$6:$Q$6,0))</f>
        <v>35873</v>
      </c>
      <c r="AA19" s="369">
        <f t="shared" si="1"/>
        <v>0.41071217900821888</v>
      </c>
    </row>
    <row r="20" spans="2:27" ht="15">
      <c r="W20" s="354" t="s">
        <v>533</v>
      </c>
      <c r="X20" s="360" t="s">
        <v>459</v>
      </c>
      <c r="Y20" s="370">
        <f>INDEX('Summary - 2013'!$E$6:$Q$43,MATCH('Charts - 2yr'!$X20,'Summary - 2013'!$E$6:$E$43,0),MATCH($B$2,'Summary - 2013'!$E$6:$Q$6,0))</f>
        <v>65360</v>
      </c>
      <c r="Z20" s="370">
        <f>INDEX('Summary - 2014'!$E$6:$Q$43,MATCH('Charts - 2yr'!$X20,'Summary - 2014'!$E$6:$E$43,0),MATCH($B$2,'Summary - 2014'!$E$6:$Q$6,0))</f>
        <v>66712.832550860723</v>
      </c>
      <c r="AA20" s="369">
        <f t="shared" si="1"/>
        <v>2.0698172442789486E-2</v>
      </c>
    </row>
    <row r="21" spans="2:27" ht="15">
      <c r="W21" s="354" t="s">
        <v>534</v>
      </c>
      <c r="X21" s="360" t="s">
        <v>461</v>
      </c>
      <c r="Y21" s="370">
        <f>INDEX('Summary - 2013'!$E$6:$Q$43,MATCH('Charts - 2yr'!$X21,'Summary - 2013'!$E$6:$E$43,0),MATCH($B$2,'Summary - 2013'!$E$6:$Q$6,0))</f>
        <v>1120</v>
      </c>
      <c r="Z21" s="370">
        <f>INDEX('Summary - 2014'!$E$6:$Q$43,MATCH('Charts - 2yr'!$X21,'Summary - 2014'!$E$6:$E$43,0),MATCH($B$2,'Summary - 2014'!$E$6:$Q$6,0))</f>
        <v>2453.46</v>
      </c>
      <c r="AA21" s="369">
        <f t="shared" si="1"/>
        <v>1.1905892857142857</v>
      </c>
    </row>
    <row r="22" spans="2:27" ht="15" customHeight="1">
      <c r="X22" s="360" t="s">
        <v>463</v>
      </c>
      <c r="Y22" s="370">
        <f>INDEX('Summary - 2013'!$E$6:$Q$43,MATCH('Charts - 2yr'!$X22,'Summary - 2013'!$E$6:$E$43,0),MATCH($B$2,'Summary - 2013'!$E$6:$Q$6,0))</f>
        <v>99419.983293695972</v>
      </c>
      <c r="Z22" s="370">
        <f>INDEX('Summary - 2014'!$E$6:$Q$43,MATCH('Charts - 2yr'!$X22,'Summary - 2014'!$E$6:$E$43,0),MATCH($B$2,'Summary - 2014'!$E$6:$Q$6,0))</f>
        <v>22099.979678252043</v>
      </c>
      <c r="AA22" s="369">
        <f t="shared" si="1"/>
        <v>-0.77771088923876974</v>
      </c>
    </row>
    <row r="23" spans="2:27" s="347" customFormat="1" ht="24.95" customHeight="1"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55"/>
      <c r="N23" s="355"/>
      <c r="O23" s="355"/>
      <c r="P23" s="355"/>
      <c r="Q23" s="355"/>
      <c r="R23" s="355"/>
      <c r="S23" s="355"/>
      <c r="T23" s="355"/>
      <c r="U23" s="355"/>
      <c r="V23" s="348"/>
      <c r="W23" s="348"/>
      <c r="X23" s="366" t="s">
        <v>503</v>
      </c>
      <c r="Y23" s="370">
        <f>INDEX('Summary - 2013'!$E$6:$Q$43,MATCH('Charts - 2yr'!$X23,'Summary - 2013'!$E$6:$E$43,0),MATCH($B$2,'Summary - 2013'!$E$6:$Q$6,0))</f>
        <v>319512</v>
      </c>
      <c r="Z23" s="370">
        <f>INDEX('Summary - 2014'!$E$6:$Q$43,MATCH('Charts - 2yr'!$X23,'Summary - 2014'!$E$6:$E$43,0),MATCH($B$2,'Summary - 2014'!$E$6:$Q$6,0))</f>
        <v>280100</v>
      </c>
      <c r="AA23" s="369">
        <f t="shared" si="1"/>
        <v>-0.12335060967976164</v>
      </c>
    </row>
    <row r="24" spans="2:27" ht="15">
      <c r="X24" s="360" t="s">
        <v>465</v>
      </c>
      <c r="Y24" s="370">
        <f>INDEX('Summary - 2013'!$E$6:$Q$43,MATCH('Charts - 2yr'!$X24,'Summary - 2013'!$E$6:$E$43,0),MATCH($B$2,'Summary - 2013'!$E$6:$Q$6,0))</f>
        <v>16806.189463863346</v>
      </c>
      <c r="Z24" s="370">
        <f>INDEX('Summary - 2014'!$E$6:$Q$43,MATCH('Charts - 2yr'!$X24,'Summary - 2014'!$E$6:$E$43,0),MATCH($B$2,'Summary - 2014'!$E$6:$Q$6,0))</f>
        <v>16480.800913209401</v>
      </c>
      <c r="AA24" s="369">
        <f t="shared" si="1"/>
        <v>-1.9361233035816605E-2</v>
      </c>
    </row>
    <row r="25" spans="2:27" ht="15">
      <c r="X25" s="360" t="s">
        <v>505</v>
      </c>
      <c r="Y25" s="370">
        <f>INDEX('Summary - 2013'!$E$6:$Q$43,MATCH('Charts - 2yr'!$X25,'Summary - 2013'!$E$6:$E$43,0),MATCH($B$2,'Summary - 2013'!$E$6:$Q$6,0))</f>
        <v>17146.5</v>
      </c>
      <c r="Z25" s="370">
        <f>INDEX('Summary - 2014'!$E$6:$Q$43,MATCH('Charts - 2yr'!$X25,'Summary - 2014'!$E$6:$E$43,0),MATCH($B$2,'Summary - 2014'!$E$6:$Q$6,0))</f>
        <v>20478.41</v>
      </c>
      <c r="AA25" s="369">
        <f t="shared" si="1"/>
        <v>0.19432012364039308</v>
      </c>
    </row>
    <row r="26" spans="2:27" ht="15">
      <c r="X26" s="360" t="s">
        <v>466</v>
      </c>
      <c r="Y26" s="370">
        <f>INDEX('Summary - 2013'!$E$6:$Q$43,MATCH('Charts - 2yr'!$X26,'Summary - 2013'!$E$6:$E$43,0),MATCH($B$2,'Summary - 2013'!$E$6:$Q$6,0))</f>
        <v>69</v>
      </c>
      <c r="Z26" s="370">
        <f>INDEX('Summary - 2014'!$E$6:$Q$43,MATCH('Charts - 2yr'!$X26,'Summary - 2014'!$E$6:$E$43,0),MATCH($B$2,'Summary - 2014'!$E$6:$Q$6,0))</f>
        <v>0</v>
      </c>
      <c r="AA26" s="369">
        <f t="shared" si="1"/>
        <v>-1</v>
      </c>
    </row>
    <row r="27" spans="2:27" ht="15">
      <c r="X27" s="360" t="s">
        <v>469</v>
      </c>
      <c r="Y27" s="370">
        <f>INDEX('Summary - 2013'!$E$6:$Q$43,MATCH('Charts - 2yr'!$X27,'Summary - 2013'!$E$6:$E$43,0),MATCH($B$2,'Summary - 2013'!$E$6:$Q$6,0))</f>
        <v>35.924755225863002</v>
      </c>
      <c r="Z27" s="370">
        <f>INDEX('Summary - 2014'!$E$6:$Q$43,MATCH('Charts - 2yr'!$X27,'Summary - 2014'!$E$6:$E$43,0),MATCH($B$2,'Summary - 2014'!$E$6:$Q$6,0))</f>
        <v>540.15660532796903</v>
      </c>
      <c r="AA27" s="369">
        <f t="shared" si="1"/>
        <v>14.035776915721298</v>
      </c>
    </row>
    <row r="28" spans="2:27" ht="15">
      <c r="X28" s="360" t="s">
        <v>507</v>
      </c>
      <c r="Y28" s="370">
        <f>INDEX('Summary - 2013'!$E$6:$Q$43,MATCH('Charts - 2yr'!$X28,'Summary - 2013'!$E$6:$E$43,0),MATCH($B$2,'Summary - 2013'!$E$6:$Q$6,0))</f>
        <v>8473</v>
      </c>
      <c r="Z28" s="370">
        <f>INDEX('Summary - 2014'!$E$6:$Q$43,MATCH('Charts - 2yr'!$X28,'Summary - 2014'!$E$6:$E$43,0),MATCH($B$2,'Summary - 2014'!$E$6:$Q$6,0))</f>
        <v>4577.3613329999998</v>
      </c>
      <c r="AA28" s="369">
        <f t="shared" si="1"/>
        <v>-0.45977088008969669</v>
      </c>
    </row>
    <row r="29" spans="2:27" ht="15">
      <c r="X29" s="360" t="s">
        <v>471</v>
      </c>
      <c r="Y29" s="370">
        <f>INDEX('Summary - 2013'!$E$6:$Q$43,MATCH('Charts - 2yr'!$X29,'Summary - 2013'!$E$6:$E$43,0),MATCH($B$2,'Summary - 2013'!$E$6:$Q$6,0))</f>
        <v>255861.42739821313</v>
      </c>
      <c r="Z29" s="370">
        <f>INDEX('Summary - 2014'!$E$6:$Q$43,MATCH('Charts - 2yr'!$X29,'Summary - 2014'!$E$6:$E$43,0),MATCH($B$2,'Summary - 2014'!$E$6:$Q$6,0))</f>
        <v>354704.719722801</v>
      </c>
      <c r="AA29" s="369">
        <f t="shared" si="1"/>
        <v>0.38631572304469275</v>
      </c>
    </row>
    <row r="30" spans="2:27" ht="15">
      <c r="X30" s="360" t="s">
        <v>473</v>
      </c>
      <c r="Y30" s="370">
        <f>INDEX('Summary - 2013'!$E$6:$Q$43,MATCH('Charts - 2yr'!$X30,'Summary - 2013'!$E$6:$E$43,0),MATCH($B$2,'Summary - 2013'!$E$6:$Q$6,0))</f>
        <v>26770</v>
      </c>
      <c r="Z30" s="370">
        <f>INDEX('Summary - 2014'!$E$6:$Q$43,MATCH('Charts - 2yr'!$X30,'Summary - 2014'!$E$6:$E$43,0),MATCH($B$2,'Summary - 2014'!$E$6:$Q$6,0))</f>
        <v>24869</v>
      </c>
      <c r="AA30" s="369">
        <f t="shared" si="1"/>
        <v>-7.1012327231976147E-2</v>
      </c>
    </row>
    <row r="31" spans="2:27" ht="15">
      <c r="X31" s="360" t="s">
        <v>474</v>
      </c>
      <c r="Y31" s="370">
        <f>INDEX('Summary - 2013'!$E$6:$Q$43,MATCH('Charts - 2yr'!$X31,'Summary - 2013'!$E$6:$E$43,0),MATCH($B$2,'Summary - 2013'!$E$6:$Q$6,0))</f>
        <v>7.3956210000000002</v>
      </c>
      <c r="Z31" s="370">
        <f>INDEX('Summary - 2014'!$E$6:$Q$43,MATCH('Charts - 2yr'!$X31,'Summary - 2014'!$E$6:$E$43,0),MATCH($B$2,'Summary - 2014'!$E$6:$Q$6,0))</f>
        <v>26707.138421</v>
      </c>
      <c r="AA31" s="369">
        <f t="shared" si="1"/>
        <v>3610.2097173448988</v>
      </c>
    </row>
    <row r="32" spans="2:27" ht="15">
      <c r="X32" s="360" t="s">
        <v>476</v>
      </c>
      <c r="Y32" s="370">
        <f>INDEX('Summary - 2013'!$E$6:$Q$43,MATCH('Charts - 2yr'!$X32,'Summary - 2013'!$E$6:$E$43,0),MATCH($B$2,'Summary - 2013'!$E$6:$Q$6,0))</f>
        <v>0</v>
      </c>
      <c r="Z32" s="370">
        <f>INDEX('Summary - 2014'!$E$6:$Q$43,MATCH('Charts - 2yr'!$X32,'Summary - 2014'!$E$6:$E$43,0),MATCH($B$2,'Summary - 2014'!$E$6:$Q$6,0))</f>
        <v>0</v>
      </c>
      <c r="AA32" s="369" t="str">
        <f t="shared" si="1"/>
        <v/>
      </c>
    </row>
    <row r="33" spans="2:27" ht="15">
      <c r="X33" s="360" t="s">
        <v>477</v>
      </c>
      <c r="Y33" s="370">
        <f>INDEX('Summary - 2013'!$E$6:$Q$43,MATCH('Charts - 2yr'!$X33,'Summary - 2013'!$E$6:$E$43,0),MATCH($B$2,'Summary - 2013'!$E$6:$Q$6,0))</f>
        <v>140</v>
      </c>
      <c r="Z33" s="370">
        <f>INDEX('Summary - 2014'!$E$6:$Q$43,MATCH('Charts - 2yr'!$X33,'Summary - 2014'!$E$6:$E$43,0),MATCH($B$2,'Summary - 2014'!$E$6:$Q$6,0))</f>
        <v>103.15981500000001</v>
      </c>
      <c r="AA33" s="369">
        <f t="shared" si="1"/>
        <v>-0.26314417857142847</v>
      </c>
    </row>
    <row r="34" spans="2:27" ht="15">
      <c r="X34" s="360" t="s">
        <v>509</v>
      </c>
      <c r="Y34" s="370">
        <f>INDEX('Summary - 2013'!$E$6:$Q$43,MATCH('Charts - 2yr'!$X34,'Summary - 2013'!$E$6:$E$43,0),MATCH($B$2,'Summary - 2013'!$E$6:$Q$6,0))</f>
        <v>21621.31</v>
      </c>
      <c r="Z34" s="370">
        <f>INDEX('Summary - 2014'!$E$6:$Q$43,MATCH('Charts - 2yr'!$X34,'Summary - 2014'!$E$6:$E$43,0),MATCH($B$2,'Summary - 2014'!$E$6:$Q$6,0))</f>
        <v>21907.23007754</v>
      </c>
      <c r="AA34" s="369">
        <f t="shared" si="1"/>
        <v>1.3223994177041121E-2</v>
      </c>
    </row>
    <row r="35" spans="2:27" ht="15">
      <c r="X35" s="360" t="s">
        <v>479</v>
      </c>
      <c r="Y35" s="370">
        <f>INDEX('Summary - 2013'!$E$6:$Q$43,MATCH('Charts - 2yr'!$X35,'Summary - 2013'!$E$6:$E$43,0),MATCH($B$2,'Summary - 2013'!$E$6:$Q$6,0))</f>
        <v>12180.64051596</v>
      </c>
      <c r="Z35" s="370">
        <f>INDEX('Summary - 2014'!$E$6:$Q$43,MATCH('Charts - 2yr'!$X35,'Summary - 2014'!$E$6:$E$43,0),MATCH($B$2,'Summary - 2014'!$E$6:$Q$6,0))</f>
        <v>26584.927452191998</v>
      </c>
      <c r="AA35" s="369">
        <f t="shared" si="1"/>
        <v>1.1825557873872401</v>
      </c>
    </row>
    <row r="36" spans="2:27" ht="15">
      <c r="X36" s="360" t="s">
        <v>481</v>
      </c>
      <c r="Y36" s="370">
        <f>INDEX('Summary - 2013'!$E$6:$Q$43,MATCH('Charts - 2yr'!$X36,'Summary - 2013'!$E$6:$E$43,0),MATCH($B$2,'Summary - 2013'!$E$6:$Q$6,0))</f>
        <v>0</v>
      </c>
      <c r="Z36" s="370">
        <f>INDEX('Summary - 2014'!$E$6:$Q$43,MATCH('Charts - 2yr'!$X36,'Summary - 2014'!$E$6:$E$43,0),MATCH($B$2,'Summary - 2014'!$E$6:$Q$6,0))</f>
        <v>0</v>
      </c>
      <c r="AA36" s="369" t="str">
        <f t="shared" si="1"/>
        <v/>
      </c>
    </row>
    <row r="37" spans="2:27" ht="15">
      <c r="X37" s="360" t="s">
        <v>483</v>
      </c>
      <c r="Y37" s="370">
        <f>INDEX('Summary - 2013'!$E$6:$Q$43,MATCH('Charts - 2yr'!$X37,'Summary - 2013'!$E$6:$E$43,0),MATCH($B$2,'Summary - 2013'!$E$6:$Q$6,0))</f>
        <v>37233</v>
      </c>
      <c r="Z37" s="370">
        <f>INDEX('Summary - 2014'!$E$6:$Q$43,MATCH('Charts - 2yr'!$X37,'Summary - 2014'!$E$6:$E$43,0),MATCH($B$2,'Summary - 2014'!$E$6:$Q$6,0))</f>
        <v>53975</v>
      </c>
      <c r="AA37" s="369">
        <f t="shared" si="1"/>
        <v>0.44965487605081522</v>
      </c>
    </row>
    <row r="38" spans="2:27" ht="15" customHeight="1">
      <c r="X38" s="360" t="s">
        <v>511</v>
      </c>
      <c r="Y38" s="370">
        <f>INDEX('Summary - 2013'!$E$6:$Q$43,MATCH('Charts - 2yr'!$X38,'Summary - 2013'!$E$6:$E$43,0),MATCH($B$2,'Summary - 2013'!$E$6:$Q$6,0))</f>
        <v>9309.33</v>
      </c>
      <c r="Z38" s="370">
        <f>INDEX('Summary - 2014'!$E$6:$Q$43,MATCH('Charts - 2yr'!$X38,'Summary - 2014'!$E$6:$E$43,0),MATCH($B$2,'Summary - 2014'!$E$6:$Q$6,0))</f>
        <v>6886.08</v>
      </c>
      <c r="AA38" s="369">
        <f t="shared" si="1"/>
        <v>-0.26030337306766438</v>
      </c>
    </row>
    <row r="39" spans="2:27" ht="15" customHeight="1">
      <c r="X39" s="360" t="s">
        <v>485</v>
      </c>
      <c r="Y39" s="370">
        <f>INDEX('Summary - 2013'!$E$6:$Q$43,MATCH('Charts - 2yr'!$X39,'Summary - 2013'!$E$6:$E$43,0),MATCH($B$2,'Summary - 2013'!$E$6:$Q$6,0))</f>
        <v>13995</v>
      </c>
      <c r="Z39" s="370">
        <f>INDEX('Summary - 2014'!$E$6:$Q$43,MATCH('Charts - 2yr'!$X39,'Summary - 2014'!$E$6:$E$43,0),MATCH($B$2,'Summary - 2014'!$E$6:$Q$6,0))</f>
        <v>109089</v>
      </c>
      <c r="AA39" s="369">
        <f t="shared" si="1"/>
        <v>6.7948553054662382</v>
      </c>
    </row>
    <row r="40" spans="2:27" ht="15" customHeight="1">
      <c r="X40" s="360" t="s">
        <v>487</v>
      </c>
      <c r="Y40" s="370">
        <f>INDEX('Summary - 2013'!$E$6:$Q$43,MATCH('Charts - 2yr'!$X40,'Summary - 2013'!$E$6:$E$43,0),MATCH($B$2,'Summary - 2013'!$E$6:$Q$6,0))</f>
        <v>115440.806024376</v>
      </c>
      <c r="Z40" s="370">
        <f>INDEX('Summary - 2014'!$E$6:$Q$43,MATCH('Charts - 2yr'!$X40,'Summary - 2014'!$E$6:$E$43,0),MATCH($B$2,'Summary - 2014'!$E$6:$Q$6,0))</f>
        <v>123200.66756361599</v>
      </c>
      <c r="AA40" s="369">
        <f t="shared" si="1"/>
        <v>6.7219398464711366E-2</v>
      </c>
    </row>
    <row r="41" spans="2:27" ht="15" customHeight="1">
      <c r="X41" s="360" t="s">
        <v>488</v>
      </c>
      <c r="Y41" s="370">
        <f>INDEX('Summary - 2013'!$E$6:$Q$43,MATCH('Charts - 2yr'!$X41,'Summary - 2013'!$E$6:$E$43,0),MATCH($B$2,'Summary - 2013'!$E$6:$Q$6,0))</f>
        <v>27431.685517187758</v>
      </c>
      <c r="Z41" s="370">
        <f>INDEX('Summary - 2014'!$E$6:$Q$43,MATCH('Charts - 2yr'!$X41,'Summary - 2014'!$E$6:$E$43,0),MATCH($B$2,'Summary - 2014'!$E$6:$Q$6,0))</f>
        <v>29593.583868631933</v>
      </c>
      <c r="AA41" s="369">
        <f t="shared" si="1"/>
        <v>7.8810263047438545E-2</v>
      </c>
    </row>
    <row r="42" spans="2:27" ht="15" customHeight="1">
      <c r="X42" s="360" t="s">
        <v>490</v>
      </c>
      <c r="Y42" s="370">
        <f>INDEX('Summary - 2013'!$E$6:$Q$43,MATCH('Charts - 2yr'!$X42,'Summary - 2013'!$E$6:$E$43,0),MATCH($B$2,'Summary - 2013'!$E$6:$Q$6,0))</f>
        <v>20149.226632975548</v>
      </c>
      <c r="Z42" s="370">
        <f>INDEX('Summary - 2014'!$E$6:$Q$43,MATCH('Charts - 2yr'!$X42,'Summary - 2014'!$E$6:$E$43,0),MATCH($B$2,'Summary - 2014'!$E$6:$Q$6,0))</f>
        <v>18181.296075473369</v>
      </c>
      <c r="AA42" s="369">
        <f t="shared" si="1"/>
        <v>-9.7667796057320122E-2</v>
      </c>
    </row>
    <row r="43" spans="2:27" ht="15" customHeight="1">
      <c r="X43" s="360" t="s">
        <v>491</v>
      </c>
      <c r="Y43" s="370">
        <f>INDEX('Summary - 2013'!$E$6:$Q$43,MATCH('Charts - 2yr'!$X43,'Summary - 2013'!$E$6:$E$43,0),MATCH($B$2,'Summary - 2013'!$E$6:$Q$6,0))</f>
        <v>77258.167379000006</v>
      </c>
      <c r="Z43" s="370">
        <f>INDEX('Summary - 2014'!$E$6:$Q$43,MATCH('Charts - 2yr'!$X43,'Summary - 2014'!$E$6:$E$43,0),MATCH($B$2,'Summary - 2014'!$E$6:$Q$6,0))</f>
        <v>94506.545167597549</v>
      </c>
      <c r="AA43" s="369">
        <f t="shared" si="1"/>
        <v>0.22325636723925091</v>
      </c>
    </row>
    <row r="44" spans="2:27" s="347" customFormat="1" ht="15" customHeight="1">
      <c r="B44" s="355"/>
      <c r="C44" s="355"/>
      <c r="D44" s="355"/>
      <c r="E44" s="355"/>
      <c r="F44" s="355"/>
      <c r="G44" s="355"/>
      <c r="H44" s="355"/>
      <c r="I44" s="355"/>
      <c r="J44" s="355"/>
      <c r="K44" s="355"/>
      <c r="L44" s="355"/>
      <c r="M44" s="355"/>
      <c r="N44" s="355"/>
      <c r="O44" s="355"/>
      <c r="P44" s="355"/>
      <c r="Q44" s="355"/>
      <c r="R44" s="355"/>
      <c r="S44" s="355"/>
      <c r="T44" s="355"/>
      <c r="U44" s="355"/>
      <c r="V44" s="349"/>
      <c r="W44" s="349"/>
      <c r="X44" s="367" t="s">
        <v>493</v>
      </c>
      <c r="Y44" s="370">
        <f>INDEX('Summary - 2013'!$E$6:$Q$43,MATCH('Charts - 2yr'!$X44,'Summary - 2013'!$E$6:$E$43,0),MATCH($B$2,'Summary - 2013'!$E$6:$Q$6,0))</f>
        <v>88362.700267519001</v>
      </c>
      <c r="Z44" s="370">
        <f>INDEX('Summary - 2014'!$E$6:$Q$43,MATCH('Charts - 2yr'!$X44,'Summary - 2014'!$E$6:$E$43,0),MATCH($B$2,'Summary - 2014'!$E$6:$Q$6,0))</f>
        <v>40209.381454924427</v>
      </c>
      <c r="AA44" s="369">
        <f t="shared" si="1"/>
        <v>-0.54495073902008317</v>
      </c>
    </row>
    <row r="45" spans="2:27" ht="15" customHeight="1">
      <c r="X45" s="360" t="s">
        <v>495</v>
      </c>
      <c r="Y45" s="370">
        <f>INDEX('Summary - 2013'!$E$6:$Q$43,MATCH('Charts - 2yr'!$X45,'Summary - 2013'!$E$6:$E$43,0),MATCH($B$2,'Summary - 2013'!$E$6:$Q$6,0))</f>
        <v>35.086633974587997</v>
      </c>
      <c r="Z45" s="370">
        <f>INDEX('Summary - 2014'!$E$6:$Q$43,MATCH('Charts - 2yr'!$X45,'Summary - 2014'!$E$6:$E$43,0),MATCH($B$2,'Summary - 2014'!$E$6:$Q$6,0))</f>
        <v>61.626743244739998</v>
      </c>
      <c r="AA45" s="369">
        <f t="shared" si="1"/>
        <v>0.75641651146627686</v>
      </c>
    </row>
    <row r="46" spans="2:27" ht="15" customHeight="1">
      <c r="X46" s="360" t="s">
        <v>497</v>
      </c>
      <c r="Y46" s="370">
        <f>INDEX('Summary - 2013'!$E$6:$Q$43,MATCH('Charts - 2yr'!$X46,'Summary - 2013'!$E$6:$E$43,0),MATCH($B$2,'Summary - 2013'!$E$6:$Q$6,0))</f>
        <v>62564.722000000002</v>
      </c>
      <c r="Z46" s="370">
        <f>INDEX('Summary - 2014'!$E$6:$Q$43,MATCH('Charts - 2yr'!$X46,'Summary - 2014'!$E$6:$E$43,0),MATCH($B$2,'Summary - 2014'!$E$6:$Q$6,0))</f>
        <v>71933.078800000003</v>
      </c>
      <c r="AA46" s="369">
        <f t="shared" si="1"/>
        <v>0.14973864664498948</v>
      </c>
    </row>
    <row r="47" spans="2:27" ht="15" customHeight="1"/>
    <row r="48" spans="2:27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hidden="1"/>
    <row r="62" ht="15" hidden="1"/>
    <row r="63" ht="15" hidden="1"/>
    <row r="64" ht="15" hidden="1"/>
    <row r="65" ht="15" hidden="1"/>
    <row r="66" ht="15" hidden="1"/>
    <row r="67" ht="15" hidden="1"/>
    <row r="68" ht="15" hidden="1"/>
    <row r="69" ht="15" hidden="1"/>
    <row r="70" ht="15" hidden="1"/>
    <row r="71" ht="15" hidden="1"/>
    <row r="72" ht="15" hidden="1"/>
    <row r="73" ht="15" hidden="1"/>
    <row r="74" ht="15" hidden="1"/>
    <row r="75" ht="15" hidden="1"/>
    <row r="76" ht="15" hidden="1"/>
    <row r="77" ht="15" hidden="1"/>
    <row r="78" ht="15" hidden="1"/>
    <row r="79" ht="15" hidden="1"/>
    <row r="80" ht="15" hidden="1"/>
    <row r="81" ht="15" hidden="1"/>
    <row r="82" ht="15" hidden="1"/>
    <row r="83" ht="15" hidden="1"/>
    <row r="84" ht="15" hidden="1"/>
    <row r="85" ht="15" hidden="1"/>
    <row r="86" ht="15" hidden="1"/>
    <row r="87" ht="15" hidden="1"/>
    <row r="88" ht="15" hidden="1"/>
    <row r="89" ht="15" hidden="1"/>
    <row r="90" ht="15" hidden="1" customHeight="1"/>
    <row r="91" ht="15" hidden="1" customHeight="1"/>
    <row r="92" ht="15" hidden="1" customHeight="1"/>
    <row r="93" ht="15" hidden="1" customHeight="1"/>
    <row r="94" ht="15" hidden="1" customHeight="1"/>
    <row r="95" ht="15" hidden="1" customHeight="1"/>
    <row r="96" ht="15" hidden="1" customHeight="1"/>
    <row r="97" ht="15" hidden="1" customHeight="1"/>
    <row r="98" ht="15" hidden="1" customHeight="1"/>
    <row r="99" ht="15" hidden="1" customHeight="1"/>
    <row r="100" ht="15" hidden="1" customHeight="1"/>
    <row r="101" ht="15" hidden="1" customHeight="1"/>
    <row r="102" ht="15" hidden="1" customHeight="1"/>
    <row r="103" ht="15" hidden="1" customHeight="1"/>
    <row r="104" ht="15" hidden="1" customHeight="1"/>
    <row r="105" ht="15" hidden="1" customHeight="1"/>
    <row r="106" ht="15" hidden="1" customHeight="1"/>
    <row r="107" ht="15" hidden="1" customHeight="1"/>
    <row r="108" ht="15" hidden="1" customHeight="1"/>
    <row r="109" ht="15" hidden="1" customHeight="1"/>
    <row r="110" ht="15" hidden="1" customHeight="1"/>
    <row r="111" ht="15" hidden="1" customHeight="1"/>
    <row r="112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ht="15" hidden="1" customHeight="1"/>
    <row r="130" ht="15" hidden="1" customHeight="1"/>
    <row r="131" ht="15" hidden="1" customHeight="1"/>
    <row r="132" ht="15" hidden="1" customHeight="1"/>
    <row r="133" ht="15" hidden="1" customHeight="1"/>
    <row r="134" ht="15" hidden="1" customHeight="1"/>
    <row r="135" ht="15" hidden="1" customHeight="1"/>
    <row r="136" ht="15" hidden="1" customHeight="1"/>
    <row r="137" ht="15" hidden="1" customHeight="1"/>
    <row r="138" ht="15" hidden="1" customHeight="1"/>
    <row r="139" ht="15" hidden="1" customHeight="1"/>
    <row r="140" ht="15" hidden="1" customHeight="1"/>
    <row r="141" ht="15" hidden="1" customHeight="1"/>
    <row r="142" ht="15" hidden="1" customHeight="1"/>
    <row r="143" ht="15" hidden="1" customHeight="1"/>
    <row r="144" ht="15" hidden="1" customHeight="1"/>
    <row r="145" ht="15" hidden="1" customHeight="1"/>
    <row r="146" ht="15" hidden="1" customHeight="1"/>
    <row r="147" ht="15" hidden="1" customHeight="1"/>
    <row r="148" ht="15" hidden="1" customHeight="1"/>
    <row r="149" ht="15" hidden="1" customHeight="1"/>
    <row r="150" ht="15" hidden="1" customHeight="1"/>
    <row r="151" ht="15" hidden="1" customHeight="1"/>
    <row r="152" ht="15" hidden="1" customHeight="1"/>
    <row r="153" ht="15" hidden="1" customHeight="1"/>
    <row r="154" ht="15" hidden="1" customHeight="1"/>
    <row r="155" ht="15" hidden="1" customHeight="1"/>
    <row r="156" ht="15" hidden="1" customHeight="1"/>
    <row r="157" ht="15" hidden="1" customHeight="1"/>
    <row r="158" ht="15" hidden="1" customHeight="1"/>
    <row r="159" ht="15" hidden="1" customHeight="1"/>
    <row r="160" ht="15" hidden="1" customHeight="1"/>
    <row r="161" ht="15" hidden="1" customHeight="1"/>
    <row r="162" ht="15" hidden="1" customHeight="1"/>
    <row r="163" ht="15" hidden="1" customHeight="1"/>
    <row r="164" ht="15" hidden="1" customHeight="1"/>
    <row r="165" ht="15" hidden="1" customHeight="1"/>
    <row r="166" ht="15" hidden="1" customHeight="1"/>
    <row r="167" ht="15" hidden="1" customHeight="1"/>
    <row r="168" ht="15" hidden="1" customHeight="1"/>
    <row r="169" ht="15" hidden="1" customHeight="1"/>
    <row r="170" ht="15" hidden="1" customHeight="1"/>
    <row r="171" ht="15" hidden="1" customHeight="1"/>
  </sheetData>
  <sheetProtection password="D63A" sheet="1" objects="1" scenarios="1"/>
  <mergeCells count="1">
    <mergeCell ref="B2:F2"/>
  </mergeCells>
  <dataValidations count="1">
    <dataValidation type="list" allowBlank="1" showInputMessage="1" showErrorMessage="1" sqref="B2">
      <formula1>$W$10:$W$21</formula1>
    </dataValidation>
  </dataValidations>
  <printOptions horizontalCentered="1"/>
  <pageMargins left="0.70866141732283472" right="0.70866141732283472" top="0.55118110236220474" bottom="0.55118110236220474" header="0.31496062992125984" footer="0.11811023622047245"/>
  <pageSetup paperSize="9" scale="64" orientation="landscape" r:id="rId1"/>
  <headerFooter>
    <oddFooter>&amp;CEuropean Banking Authority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1:BZ252"/>
  <sheetViews>
    <sheetView showGridLines="0" zoomScale="85" zoomScaleNormal="85" zoomScaleSheetLayoutView="40" workbookViewId="0">
      <pane xSplit="9" ySplit="6" topLeftCell="AB7" activePane="bottomRight" state="frozen"/>
      <selection pane="topRight" activeCell="J1" sqref="J1"/>
      <selection pane="bottomLeft" activeCell="A7" sqref="A7"/>
      <selection pane="bottomRight" activeCell="G6" sqref="G6"/>
    </sheetView>
  </sheetViews>
  <sheetFormatPr defaultColWidth="0" defaultRowHeight="12.75" zeroHeight="1"/>
  <cols>
    <col min="1" max="1" width="8.28515625" style="263" customWidth="1"/>
    <col min="2" max="2" width="13.42578125" style="264" customWidth="1"/>
    <col min="3" max="6" width="9.140625" style="264" customWidth="1"/>
    <col min="7" max="7" width="9.140625" style="269" customWidth="1"/>
    <col min="8" max="8" width="9.140625" style="382" customWidth="1"/>
    <col min="9" max="9" width="9.140625" style="269" customWidth="1"/>
    <col min="10" max="42" width="16.7109375" style="269" customWidth="1"/>
    <col min="43" max="46" width="16.5703125" style="264" customWidth="1"/>
    <col min="47" max="78" width="9.140625" style="264" customWidth="1"/>
    <col min="79" max="16384" width="9.140625" style="264" hidden="1"/>
  </cols>
  <sheetData>
    <row r="1" spans="1:46">
      <c r="I1" s="380"/>
    </row>
    <row r="2" spans="1:46">
      <c r="I2" s="380"/>
    </row>
    <row r="3" spans="1:46">
      <c r="I3" s="380"/>
    </row>
    <row r="4" spans="1:46">
      <c r="I4" s="380"/>
      <c r="J4" s="269" t="s">
        <v>536</v>
      </c>
      <c r="K4" s="269" t="s">
        <v>537</v>
      </c>
      <c r="L4" s="269" t="s">
        <v>538</v>
      </c>
      <c r="M4" s="269" t="s">
        <v>539</v>
      </c>
      <c r="N4" s="269" t="s">
        <v>540</v>
      </c>
      <c r="O4" s="269" t="s">
        <v>541</v>
      </c>
      <c r="P4" s="269" t="s">
        <v>542</v>
      </c>
      <c r="Q4" s="269" t="s">
        <v>543</v>
      </c>
      <c r="R4" s="269" t="s">
        <v>544</v>
      </c>
      <c r="S4" s="269" t="s">
        <v>545</v>
      </c>
      <c r="T4" s="269" t="s">
        <v>546</v>
      </c>
      <c r="U4" s="269" t="s">
        <v>547</v>
      </c>
      <c r="V4" s="269" t="s">
        <v>548</v>
      </c>
      <c r="W4" s="269" t="s">
        <v>549</v>
      </c>
      <c r="X4" s="269" t="s">
        <v>550</v>
      </c>
      <c r="Y4" s="269" t="s">
        <v>551</v>
      </c>
      <c r="Z4" s="269" t="s">
        <v>552</v>
      </c>
      <c r="AA4" s="269" t="s">
        <v>553</v>
      </c>
      <c r="AB4" s="269" t="s">
        <v>554</v>
      </c>
      <c r="AC4" s="269" t="s">
        <v>555</v>
      </c>
      <c r="AD4" s="269" t="s">
        <v>556</v>
      </c>
      <c r="AE4" s="269" t="s">
        <v>557</v>
      </c>
      <c r="AF4" s="269" t="s">
        <v>558</v>
      </c>
      <c r="AG4" s="269" t="s">
        <v>559</v>
      </c>
      <c r="AH4" s="269" t="s">
        <v>560</v>
      </c>
      <c r="AI4" s="269" t="s">
        <v>626</v>
      </c>
      <c r="AJ4" s="269" t="s">
        <v>628</v>
      </c>
      <c r="AK4" s="269" t="s">
        <v>629</v>
      </c>
      <c r="AL4" s="269" t="s">
        <v>630</v>
      </c>
      <c r="AM4" s="269" t="s">
        <v>631</v>
      </c>
      <c r="AN4" s="269" t="s">
        <v>632</v>
      </c>
      <c r="AO4" s="269" t="s">
        <v>633</v>
      </c>
      <c r="AP4" s="269" t="s">
        <v>634</v>
      </c>
      <c r="AQ4" s="264" t="s">
        <v>648</v>
      </c>
      <c r="AR4" s="264" t="s">
        <v>649</v>
      </c>
      <c r="AS4" s="264" t="s">
        <v>650</v>
      </c>
      <c r="AT4" s="264" t="s">
        <v>651</v>
      </c>
    </row>
    <row r="5" spans="1:46" ht="13.5" thickBot="1">
      <c r="I5" s="380"/>
    </row>
    <row r="6" spans="1:46" s="265" customFormat="1" ht="20.25" customHeight="1" thickTop="1" thickBot="1">
      <c r="G6" s="270"/>
      <c r="H6" s="383" t="s">
        <v>561</v>
      </c>
      <c r="I6" s="381"/>
      <c r="J6" s="270"/>
      <c r="K6" s="270"/>
      <c r="L6" s="270"/>
      <c r="M6" s="270"/>
      <c r="N6" s="270"/>
      <c r="O6" s="270"/>
      <c r="P6" s="270"/>
      <c r="Q6" s="270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</row>
    <row r="7" spans="1:46" ht="17.25" customHeight="1" thickTop="1">
      <c r="A7" s="263" t="s">
        <v>28</v>
      </c>
      <c r="B7" s="264" t="s">
        <v>362</v>
      </c>
      <c r="C7" s="264" t="s">
        <v>562</v>
      </c>
      <c r="D7" s="264" t="s">
        <v>61</v>
      </c>
      <c r="G7" s="269">
        <v>1001</v>
      </c>
      <c r="I7" s="380">
        <f>IF(H7="",G7,G7&amp;"c")</f>
        <v>1001</v>
      </c>
      <c r="J7" s="269" t="s">
        <v>11</v>
      </c>
      <c r="K7" s="269" t="s">
        <v>19</v>
      </c>
      <c r="L7" s="269" t="s">
        <v>17</v>
      </c>
      <c r="M7" s="269" t="s">
        <v>17</v>
      </c>
      <c r="N7" s="269" t="s">
        <v>17</v>
      </c>
      <c r="O7" s="269" t="s">
        <v>16</v>
      </c>
      <c r="P7" s="269" t="s">
        <v>12</v>
      </c>
      <c r="Q7" s="269" t="s">
        <v>12</v>
      </c>
      <c r="R7" s="269" t="s">
        <v>12</v>
      </c>
      <c r="S7" s="269" t="s">
        <v>12</v>
      </c>
      <c r="T7" s="269" t="s">
        <v>12</v>
      </c>
      <c r="U7" s="269" t="s">
        <v>12</v>
      </c>
      <c r="V7" s="269" t="s">
        <v>12</v>
      </c>
      <c r="W7" s="269" t="s">
        <v>13</v>
      </c>
      <c r="X7" s="269" t="s">
        <v>15</v>
      </c>
      <c r="Y7" s="269" t="s">
        <v>15</v>
      </c>
      <c r="Z7" s="269" t="s">
        <v>15</v>
      </c>
      <c r="AA7" s="269" t="s">
        <v>18</v>
      </c>
      <c r="AB7" s="269" t="s">
        <v>18</v>
      </c>
      <c r="AC7" s="269" t="s">
        <v>18</v>
      </c>
      <c r="AD7" s="269" t="s">
        <v>16</v>
      </c>
      <c r="AE7" s="269" t="s">
        <v>16</v>
      </c>
      <c r="AF7" s="269" t="s">
        <v>16</v>
      </c>
      <c r="AG7" s="269" t="s">
        <v>16</v>
      </c>
      <c r="AH7" s="269" t="s">
        <v>16</v>
      </c>
      <c r="AI7" s="269" t="s">
        <v>467</v>
      </c>
      <c r="AJ7" s="269" t="s">
        <v>15</v>
      </c>
      <c r="AK7" s="269" t="s">
        <v>15</v>
      </c>
      <c r="AL7" s="269" t="s">
        <v>20</v>
      </c>
      <c r="AM7" s="269" t="s">
        <v>15</v>
      </c>
      <c r="AN7" s="269" t="s">
        <v>20</v>
      </c>
      <c r="AO7" s="269" t="s">
        <v>20</v>
      </c>
      <c r="AP7" s="269" t="s">
        <v>20</v>
      </c>
      <c r="AQ7" s="264" t="s">
        <v>14</v>
      </c>
      <c r="AR7" s="264" t="s">
        <v>14</v>
      </c>
      <c r="AS7" s="264" t="s">
        <v>14</v>
      </c>
      <c r="AT7" s="264" t="s">
        <v>14</v>
      </c>
    </row>
    <row r="8" spans="1:46">
      <c r="D8" s="264" t="s">
        <v>204</v>
      </c>
      <c r="G8" s="269">
        <v>1002</v>
      </c>
      <c r="I8" s="380">
        <f>IF(H8="",G8,G8&amp;"c")</f>
        <v>1002</v>
      </c>
      <c r="J8" s="269" t="s">
        <v>476</v>
      </c>
      <c r="K8" s="269" t="s">
        <v>563</v>
      </c>
      <c r="L8" s="269" t="s">
        <v>564</v>
      </c>
      <c r="M8" s="269" t="s">
        <v>565</v>
      </c>
      <c r="N8" s="269" t="s">
        <v>497</v>
      </c>
      <c r="O8" s="269" t="s">
        <v>566</v>
      </c>
      <c r="P8" s="269" t="s">
        <v>567</v>
      </c>
      <c r="Q8" s="269" t="s">
        <v>501</v>
      </c>
      <c r="R8" s="269" t="s">
        <v>568</v>
      </c>
      <c r="S8" s="269" t="s">
        <v>569</v>
      </c>
      <c r="T8" s="269" t="s">
        <v>507</v>
      </c>
      <c r="U8" s="269" t="s">
        <v>509</v>
      </c>
      <c r="V8" s="269" t="s">
        <v>511</v>
      </c>
      <c r="W8" s="269" t="s">
        <v>570</v>
      </c>
      <c r="X8" s="269" t="s">
        <v>457</v>
      </c>
      <c r="Y8" s="269" t="s">
        <v>571</v>
      </c>
      <c r="Z8" s="269" t="s">
        <v>572</v>
      </c>
      <c r="AA8" s="269" t="s">
        <v>673</v>
      </c>
      <c r="AB8" s="269" t="s">
        <v>473</v>
      </c>
      <c r="AC8" s="269" t="s">
        <v>485</v>
      </c>
      <c r="AD8" s="269" t="s">
        <v>450</v>
      </c>
      <c r="AE8" s="269" t="s">
        <v>471</v>
      </c>
      <c r="AF8" s="269" t="s">
        <v>479</v>
      </c>
      <c r="AG8" s="269" t="s">
        <v>481</v>
      </c>
      <c r="AH8" s="269" t="s">
        <v>487</v>
      </c>
      <c r="AI8" s="269" t="s">
        <v>627</v>
      </c>
      <c r="AJ8" s="269" t="s">
        <v>635</v>
      </c>
      <c r="AK8" s="269" t="s">
        <v>636</v>
      </c>
      <c r="AL8" s="269" t="s">
        <v>469</v>
      </c>
      <c r="AM8" s="269" t="s">
        <v>637</v>
      </c>
      <c r="AN8" s="269" t="s">
        <v>483</v>
      </c>
      <c r="AO8" s="269" t="s">
        <v>490</v>
      </c>
      <c r="AP8" s="269" t="s">
        <v>495</v>
      </c>
      <c r="AQ8" s="264" t="s">
        <v>488</v>
      </c>
      <c r="AR8" s="264" t="s">
        <v>453</v>
      </c>
      <c r="AS8" s="264" t="s">
        <v>647</v>
      </c>
      <c r="AT8" s="264" t="s">
        <v>652</v>
      </c>
    </row>
    <row r="9" spans="1:46">
      <c r="B9" s="266"/>
      <c r="D9" s="264" t="s">
        <v>436</v>
      </c>
      <c r="G9" s="269">
        <v>1003</v>
      </c>
      <c r="I9" s="380">
        <f t="shared" ref="I9:I71" si="0">IF(H9="",G9,G9&amp;"c")</f>
        <v>1003</v>
      </c>
      <c r="J9" s="269">
        <v>42004</v>
      </c>
      <c r="K9" s="269">
        <v>42004</v>
      </c>
      <c r="L9" s="269">
        <v>42004</v>
      </c>
      <c r="M9" s="269">
        <v>42004</v>
      </c>
      <c r="N9" s="269">
        <v>42004</v>
      </c>
      <c r="O9" s="269">
        <v>42004</v>
      </c>
      <c r="P9" s="269">
        <v>42004</v>
      </c>
      <c r="Q9" s="269">
        <v>42004</v>
      </c>
      <c r="R9" s="269">
        <v>42004</v>
      </c>
      <c r="S9" s="269">
        <v>42004</v>
      </c>
      <c r="T9" s="269">
        <v>42004</v>
      </c>
      <c r="U9" s="269">
        <v>42004</v>
      </c>
      <c r="V9" s="269">
        <v>42004</v>
      </c>
      <c r="W9" s="269">
        <v>42004</v>
      </c>
      <c r="X9" s="269">
        <v>42004</v>
      </c>
      <c r="Y9" s="269">
        <v>42004</v>
      </c>
      <c r="Z9" s="269">
        <v>42004</v>
      </c>
      <c r="AA9" s="269">
        <v>42004</v>
      </c>
      <c r="AB9" s="269">
        <v>42004</v>
      </c>
      <c r="AC9" s="269">
        <v>42004</v>
      </c>
      <c r="AD9" s="269">
        <v>42004</v>
      </c>
      <c r="AE9" s="269">
        <v>42004</v>
      </c>
      <c r="AF9" s="269">
        <v>42004</v>
      </c>
      <c r="AG9" s="269">
        <v>42004</v>
      </c>
      <c r="AH9" s="269">
        <v>42004</v>
      </c>
      <c r="AI9" s="269">
        <v>42004</v>
      </c>
      <c r="AJ9" s="269">
        <v>42004</v>
      </c>
      <c r="AK9" s="269">
        <v>42004</v>
      </c>
      <c r="AL9" s="269">
        <v>42004</v>
      </c>
      <c r="AM9" s="269">
        <v>42004</v>
      </c>
      <c r="AN9" s="269">
        <v>42004</v>
      </c>
      <c r="AO9" s="269">
        <v>42004</v>
      </c>
      <c r="AP9" s="269">
        <v>42004</v>
      </c>
      <c r="AQ9" s="264">
        <v>42004</v>
      </c>
      <c r="AR9" s="264">
        <v>42004</v>
      </c>
      <c r="AS9" s="264">
        <v>42004</v>
      </c>
      <c r="AT9" s="264">
        <v>42004</v>
      </c>
    </row>
    <row r="10" spans="1:46">
      <c r="D10" s="264" t="s">
        <v>437</v>
      </c>
      <c r="G10" s="269">
        <v>1004</v>
      </c>
      <c r="I10" s="380">
        <f t="shared" si="0"/>
        <v>1004</v>
      </c>
      <c r="J10" s="269" t="s">
        <v>1</v>
      </c>
      <c r="K10" s="269" t="s">
        <v>21</v>
      </c>
      <c r="L10" s="269" t="s">
        <v>1</v>
      </c>
      <c r="M10" s="269" t="s">
        <v>1</v>
      </c>
      <c r="N10" s="269" t="s">
        <v>1</v>
      </c>
      <c r="O10" s="269" t="s">
        <v>0</v>
      </c>
      <c r="P10" s="269" t="s">
        <v>1</v>
      </c>
      <c r="Q10" s="269" t="s">
        <v>1</v>
      </c>
      <c r="R10" s="269" t="s">
        <v>1</v>
      </c>
      <c r="S10" s="269" t="s">
        <v>1</v>
      </c>
      <c r="T10" s="269" t="s">
        <v>1</v>
      </c>
      <c r="U10" s="269" t="s">
        <v>1</v>
      </c>
      <c r="V10" s="269" t="s">
        <v>1</v>
      </c>
      <c r="W10" s="269" t="s">
        <v>22</v>
      </c>
      <c r="X10" s="269" t="s">
        <v>1</v>
      </c>
      <c r="Y10" s="269" t="s">
        <v>1</v>
      </c>
      <c r="Z10" s="269" t="s">
        <v>1</v>
      </c>
      <c r="AA10" s="269" t="s">
        <v>1</v>
      </c>
      <c r="AB10" s="269" t="s">
        <v>1</v>
      </c>
      <c r="AC10" s="269" t="s">
        <v>1</v>
      </c>
      <c r="AD10" s="269" t="s">
        <v>2</v>
      </c>
      <c r="AE10" s="269" t="s">
        <v>0</v>
      </c>
      <c r="AF10" s="269" t="s">
        <v>2</v>
      </c>
      <c r="AG10" s="269" t="s">
        <v>2</v>
      </c>
      <c r="AH10" s="269" t="s">
        <v>2</v>
      </c>
      <c r="AI10" s="269" t="s">
        <v>1</v>
      </c>
      <c r="AJ10" s="269" t="s">
        <v>1</v>
      </c>
      <c r="AK10" s="269" t="s">
        <v>1</v>
      </c>
      <c r="AL10" s="269" t="s">
        <v>23</v>
      </c>
      <c r="AM10" s="269" t="s">
        <v>1</v>
      </c>
      <c r="AN10" s="269" t="s">
        <v>1</v>
      </c>
      <c r="AO10" s="269" t="s">
        <v>23</v>
      </c>
      <c r="AP10" s="269" t="s">
        <v>23</v>
      </c>
      <c r="AQ10" s="264" t="s">
        <v>1</v>
      </c>
      <c r="AR10" s="264" t="s">
        <v>1</v>
      </c>
      <c r="AS10" s="264" t="s">
        <v>1</v>
      </c>
      <c r="AT10" s="264" t="s">
        <v>1</v>
      </c>
    </row>
    <row r="11" spans="1:46">
      <c r="D11" s="264" t="s">
        <v>438</v>
      </c>
      <c r="G11" s="269">
        <v>1005</v>
      </c>
      <c r="I11" s="380">
        <f t="shared" si="0"/>
        <v>1005</v>
      </c>
      <c r="J11" s="269">
        <v>1</v>
      </c>
      <c r="K11" s="269">
        <v>0.110595001</v>
      </c>
      <c r="L11" s="269">
        <v>1</v>
      </c>
      <c r="M11" s="269">
        <v>1</v>
      </c>
      <c r="N11" s="269">
        <v>1</v>
      </c>
      <c r="O11" s="269">
        <v>0.82365538299999996</v>
      </c>
      <c r="P11" s="269">
        <v>1</v>
      </c>
      <c r="Q11" s="269">
        <v>1</v>
      </c>
      <c r="R11" s="269">
        <v>1</v>
      </c>
      <c r="S11" s="269">
        <v>1</v>
      </c>
      <c r="T11" s="269">
        <v>1</v>
      </c>
      <c r="U11" s="269">
        <v>1</v>
      </c>
      <c r="V11" s="269">
        <v>1</v>
      </c>
      <c r="W11" s="269">
        <v>0.134312922</v>
      </c>
      <c r="X11" s="269">
        <v>1</v>
      </c>
      <c r="Y11" s="269">
        <v>1</v>
      </c>
      <c r="Z11" s="269">
        <v>1</v>
      </c>
      <c r="AA11" s="269">
        <v>1</v>
      </c>
      <c r="AB11" s="269">
        <v>1</v>
      </c>
      <c r="AC11" s="269">
        <v>1</v>
      </c>
      <c r="AD11" s="269">
        <v>1.2838618559999999</v>
      </c>
      <c r="AE11" s="269">
        <v>0.82365538299999996</v>
      </c>
      <c r="AF11" s="269">
        <v>1.2838618559999999</v>
      </c>
      <c r="AG11" s="269">
        <v>1.2838618559999999</v>
      </c>
      <c r="AH11" s="269">
        <v>1.2838618559999999</v>
      </c>
      <c r="AI11" s="269">
        <v>1</v>
      </c>
      <c r="AJ11" s="269">
        <v>1</v>
      </c>
      <c r="AK11" s="269">
        <v>1</v>
      </c>
      <c r="AL11" s="269">
        <v>0.106462259</v>
      </c>
      <c r="AM11" s="269">
        <v>1</v>
      </c>
      <c r="AN11" s="269">
        <v>1</v>
      </c>
      <c r="AO11" s="269">
        <v>0.106462259</v>
      </c>
      <c r="AP11" s="269">
        <v>0.106462259</v>
      </c>
      <c r="AQ11" s="264">
        <v>1</v>
      </c>
      <c r="AR11" s="264">
        <v>1</v>
      </c>
      <c r="AS11" s="264">
        <v>1</v>
      </c>
      <c r="AT11" s="264">
        <v>1</v>
      </c>
    </row>
    <row r="12" spans="1:46" ht="12.75" customHeight="1">
      <c r="C12" s="264" t="s">
        <v>159</v>
      </c>
      <c r="D12" s="264" t="s">
        <v>428</v>
      </c>
      <c r="G12" s="269">
        <v>1007</v>
      </c>
      <c r="I12" s="380">
        <f t="shared" si="0"/>
        <v>1007</v>
      </c>
      <c r="J12" s="269">
        <v>1000000</v>
      </c>
      <c r="K12" s="269">
        <v>1000</v>
      </c>
      <c r="L12" s="269">
        <v>1000</v>
      </c>
      <c r="M12" s="269">
        <v>1000</v>
      </c>
      <c r="N12" s="269">
        <v>1000</v>
      </c>
      <c r="O12" s="269">
        <v>1000000</v>
      </c>
      <c r="P12" s="269">
        <v>1000</v>
      </c>
      <c r="Q12" s="269">
        <v>1000000</v>
      </c>
      <c r="R12" s="269">
        <v>1000000</v>
      </c>
      <c r="S12" s="269">
        <v>1</v>
      </c>
      <c r="T12" s="269">
        <v>1</v>
      </c>
      <c r="U12" s="269">
        <v>1</v>
      </c>
      <c r="V12" s="269">
        <v>1000</v>
      </c>
      <c r="W12" s="269">
        <v>1000000</v>
      </c>
      <c r="X12" s="269">
        <v>1000000</v>
      </c>
      <c r="Y12" s="269">
        <v>1000</v>
      </c>
      <c r="Z12" s="269">
        <v>1000</v>
      </c>
      <c r="AA12" s="269">
        <v>1000</v>
      </c>
      <c r="AB12" s="269">
        <v>1000000</v>
      </c>
      <c r="AC12" s="269">
        <v>1000000</v>
      </c>
      <c r="AD12" s="269">
        <v>1000000</v>
      </c>
      <c r="AE12" s="269">
        <v>1000000</v>
      </c>
      <c r="AF12" s="269">
        <v>1000000</v>
      </c>
      <c r="AG12" s="269">
        <v>1000000</v>
      </c>
      <c r="AH12" s="269">
        <v>1000000</v>
      </c>
      <c r="AI12" s="269">
        <v>1000000</v>
      </c>
      <c r="AJ12" s="269">
        <v>1</v>
      </c>
      <c r="AK12" s="269">
        <v>1000</v>
      </c>
      <c r="AL12" s="269">
        <v>1000</v>
      </c>
      <c r="AM12" s="269">
        <v>1000000</v>
      </c>
      <c r="AN12" s="269">
        <v>1000000</v>
      </c>
      <c r="AO12" s="269">
        <v>1000</v>
      </c>
      <c r="AP12" s="269">
        <v>1000</v>
      </c>
      <c r="AQ12" s="264">
        <v>1000000</v>
      </c>
      <c r="AR12" s="264">
        <v>1000</v>
      </c>
      <c r="AS12" s="264">
        <v>1000</v>
      </c>
      <c r="AT12" s="264">
        <v>1000</v>
      </c>
    </row>
    <row r="13" spans="1:46">
      <c r="D13" s="264" t="s">
        <v>429</v>
      </c>
      <c r="G13" s="269">
        <v>1008</v>
      </c>
      <c r="I13" s="380">
        <f t="shared" si="0"/>
        <v>1008</v>
      </c>
      <c r="J13" s="269" t="s">
        <v>24</v>
      </c>
      <c r="K13" s="269" t="s">
        <v>24</v>
      </c>
      <c r="L13" s="269" t="s">
        <v>24</v>
      </c>
      <c r="M13" s="269" t="s">
        <v>24</v>
      </c>
      <c r="N13" s="269" t="s">
        <v>24</v>
      </c>
      <c r="O13" s="269" t="s">
        <v>24</v>
      </c>
      <c r="P13" s="269" t="s">
        <v>24</v>
      </c>
      <c r="Q13" s="269" t="s">
        <v>24</v>
      </c>
      <c r="R13" s="269" t="s">
        <v>24</v>
      </c>
      <c r="S13" s="269" t="s">
        <v>24</v>
      </c>
      <c r="T13" s="269" t="s">
        <v>24</v>
      </c>
      <c r="U13" s="269" t="s">
        <v>24</v>
      </c>
      <c r="V13" s="269" t="s">
        <v>24</v>
      </c>
      <c r="W13" s="269" t="s">
        <v>24</v>
      </c>
      <c r="X13" s="269" t="s">
        <v>24</v>
      </c>
      <c r="Y13" s="269" t="s">
        <v>24</v>
      </c>
      <c r="Z13" s="269" t="s">
        <v>24</v>
      </c>
      <c r="AA13" s="269" t="s">
        <v>24</v>
      </c>
      <c r="AB13" s="269" t="s">
        <v>24</v>
      </c>
      <c r="AC13" s="269" t="s">
        <v>24</v>
      </c>
      <c r="AD13" s="269" t="s">
        <v>24</v>
      </c>
      <c r="AE13" s="269" t="s">
        <v>24</v>
      </c>
      <c r="AF13" s="269" t="s">
        <v>24</v>
      </c>
      <c r="AG13" s="269" t="s">
        <v>24</v>
      </c>
      <c r="AH13" s="269" t="s">
        <v>24</v>
      </c>
      <c r="AI13" s="269" t="s">
        <v>24</v>
      </c>
      <c r="AJ13" s="269" t="s">
        <v>24</v>
      </c>
      <c r="AK13" s="269" t="s">
        <v>24</v>
      </c>
      <c r="AL13" s="269" t="s">
        <v>24</v>
      </c>
      <c r="AM13" s="269" t="s">
        <v>24</v>
      </c>
      <c r="AN13" s="269" t="s">
        <v>24</v>
      </c>
      <c r="AO13" s="269" t="s">
        <v>24</v>
      </c>
      <c r="AP13" s="269" t="s">
        <v>24</v>
      </c>
      <c r="AQ13" s="264" t="s">
        <v>24</v>
      </c>
      <c r="AR13" s="264" t="s">
        <v>24</v>
      </c>
      <c r="AS13" s="264" t="s">
        <v>24</v>
      </c>
      <c r="AT13" s="264" t="s">
        <v>24</v>
      </c>
    </row>
    <row r="14" spans="1:46">
      <c r="B14" s="266"/>
      <c r="D14" s="264" t="s">
        <v>430</v>
      </c>
      <c r="G14" s="269">
        <v>1009</v>
      </c>
      <c r="I14" s="380">
        <f t="shared" si="0"/>
        <v>1009</v>
      </c>
      <c r="J14" s="269">
        <v>42124</v>
      </c>
      <c r="K14" s="269">
        <v>42111</v>
      </c>
      <c r="L14" s="269">
        <v>42004</v>
      </c>
      <c r="M14" s="269">
        <v>42124</v>
      </c>
      <c r="N14" s="269">
        <v>42124</v>
      </c>
      <c r="O14" s="269">
        <v>42124</v>
      </c>
      <c r="P14" s="269">
        <v>42216</v>
      </c>
      <c r="Q14" s="269">
        <v>42124</v>
      </c>
      <c r="R14" s="269">
        <v>42083</v>
      </c>
      <c r="S14" s="269">
        <v>42124</v>
      </c>
      <c r="T14" s="269">
        <v>42124</v>
      </c>
      <c r="U14" s="269">
        <v>42124</v>
      </c>
      <c r="V14" s="269">
        <v>42124</v>
      </c>
      <c r="W14" s="269">
        <v>42124</v>
      </c>
      <c r="X14" s="269">
        <v>42124</v>
      </c>
      <c r="Y14" s="269">
        <v>42124</v>
      </c>
      <c r="Z14" s="269">
        <v>42180</v>
      </c>
      <c r="AA14" s="269">
        <v>42083</v>
      </c>
      <c r="AB14" s="269">
        <v>42124</v>
      </c>
      <c r="AC14" s="269">
        <v>42094</v>
      </c>
      <c r="AD14" s="269">
        <v>42124</v>
      </c>
      <c r="AE14" s="269">
        <v>42124</v>
      </c>
      <c r="AF14" s="269">
        <v>42124</v>
      </c>
      <c r="AG14" s="269">
        <v>42216</v>
      </c>
      <c r="AH14" s="269">
        <v>42124</v>
      </c>
      <c r="AI14" s="269" t="s">
        <v>612</v>
      </c>
      <c r="AJ14" s="269">
        <v>42124</v>
      </c>
      <c r="AK14" s="269">
        <v>42124</v>
      </c>
      <c r="AL14" s="269">
        <v>42124</v>
      </c>
      <c r="AM14" s="269">
        <v>42004</v>
      </c>
      <c r="AN14" s="269">
        <v>42123</v>
      </c>
      <c r="AO14" s="269">
        <v>42124</v>
      </c>
      <c r="AP14" s="269">
        <v>42124</v>
      </c>
      <c r="AQ14" s="264">
        <v>42124</v>
      </c>
      <c r="AR14" s="264">
        <v>42124</v>
      </c>
      <c r="AS14" s="264">
        <v>42124</v>
      </c>
      <c r="AT14" s="264">
        <v>42124</v>
      </c>
    </row>
    <row r="15" spans="1:46">
      <c r="D15" s="264" t="s">
        <v>431</v>
      </c>
      <c r="G15" s="269">
        <v>1010</v>
      </c>
      <c r="I15" s="380">
        <f t="shared" si="0"/>
        <v>1010</v>
      </c>
      <c r="J15" s="269" t="s">
        <v>573</v>
      </c>
      <c r="K15" s="269" t="s">
        <v>573</v>
      </c>
      <c r="L15" s="269" t="s">
        <v>574</v>
      </c>
      <c r="M15" s="269" t="s">
        <v>573</v>
      </c>
      <c r="N15" s="269" t="s">
        <v>575</v>
      </c>
      <c r="O15" s="269" t="s">
        <v>573</v>
      </c>
      <c r="P15" s="269" t="s">
        <v>576</v>
      </c>
      <c r="Q15" s="269" t="s">
        <v>577</v>
      </c>
      <c r="R15" s="269" t="s">
        <v>573</v>
      </c>
      <c r="S15" s="269" t="s">
        <v>578</v>
      </c>
      <c r="T15" s="269" t="s">
        <v>573</v>
      </c>
      <c r="U15" s="269" t="s">
        <v>579</v>
      </c>
      <c r="V15" s="269" t="s">
        <v>573</v>
      </c>
      <c r="W15" s="269" t="s">
        <v>573</v>
      </c>
      <c r="X15" s="269" t="s">
        <v>573</v>
      </c>
      <c r="Y15" s="269" t="s">
        <v>580</v>
      </c>
      <c r="Z15" s="269" t="s">
        <v>580</v>
      </c>
      <c r="AA15" s="269" t="s">
        <v>573</v>
      </c>
      <c r="AB15" s="269" t="s">
        <v>573</v>
      </c>
      <c r="AC15" s="269" t="s">
        <v>573</v>
      </c>
      <c r="AD15" s="269" t="s">
        <v>573</v>
      </c>
      <c r="AE15" s="269" t="s">
        <v>573</v>
      </c>
      <c r="AF15" s="269" t="s">
        <v>573</v>
      </c>
      <c r="AG15" s="269" t="s">
        <v>573</v>
      </c>
      <c r="AH15" s="269" t="s">
        <v>573</v>
      </c>
      <c r="AI15" s="269" t="s">
        <v>573</v>
      </c>
      <c r="AJ15" s="269" t="s">
        <v>573</v>
      </c>
      <c r="AK15" s="269" t="s">
        <v>573</v>
      </c>
      <c r="AL15" s="269" t="s">
        <v>573</v>
      </c>
      <c r="AM15" s="269" t="s">
        <v>580</v>
      </c>
      <c r="AN15" s="269" t="s">
        <v>573</v>
      </c>
      <c r="AO15" s="269" t="s">
        <v>573</v>
      </c>
      <c r="AP15" s="269" t="s">
        <v>573</v>
      </c>
      <c r="AQ15" s="264" t="s">
        <v>653</v>
      </c>
      <c r="AR15" s="264" t="s">
        <v>573</v>
      </c>
      <c r="AS15" s="264" t="s">
        <v>573</v>
      </c>
      <c r="AT15" s="264" t="s">
        <v>653</v>
      </c>
    </row>
    <row r="16" spans="1:46">
      <c r="D16" s="264" t="s">
        <v>432</v>
      </c>
      <c r="G16" s="269">
        <v>1011</v>
      </c>
      <c r="I16" s="380">
        <f t="shared" si="0"/>
        <v>1011</v>
      </c>
      <c r="J16" s="271" t="s">
        <v>681</v>
      </c>
      <c r="K16" s="271" t="s">
        <v>581</v>
      </c>
      <c r="L16" s="271" t="s">
        <v>582</v>
      </c>
      <c r="M16" s="271" t="s">
        <v>583</v>
      </c>
      <c r="N16" s="271" t="s">
        <v>584</v>
      </c>
      <c r="O16" s="271" t="s">
        <v>585</v>
      </c>
      <c r="P16" s="269" t="s">
        <v>586</v>
      </c>
      <c r="Q16" s="271" t="s">
        <v>587</v>
      </c>
      <c r="R16" s="271" t="s">
        <v>643</v>
      </c>
      <c r="S16" s="271" t="s">
        <v>588</v>
      </c>
      <c r="T16" s="271" t="s">
        <v>589</v>
      </c>
      <c r="U16" s="271" t="s">
        <v>590</v>
      </c>
      <c r="V16" s="271" t="s">
        <v>591</v>
      </c>
      <c r="W16" s="271" t="s">
        <v>658</v>
      </c>
      <c r="X16" s="271" t="s">
        <v>592</v>
      </c>
      <c r="Y16" s="271" t="s">
        <v>593</v>
      </c>
      <c r="Z16" s="271" t="s">
        <v>594</v>
      </c>
      <c r="AA16" s="271" t="s">
        <v>674</v>
      </c>
      <c r="AB16" s="271" t="s">
        <v>595</v>
      </c>
      <c r="AC16" s="271" t="s">
        <v>596</v>
      </c>
      <c r="AD16" s="271" t="s">
        <v>597</v>
      </c>
      <c r="AE16" s="271" t="s">
        <v>598</v>
      </c>
      <c r="AF16" s="271" t="s">
        <v>646</v>
      </c>
      <c r="AG16" s="271" t="s">
        <v>599</v>
      </c>
      <c r="AH16" s="271" t="s">
        <v>600</v>
      </c>
      <c r="AI16" s="269" t="s">
        <v>612</v>
      </c>
      <c r="AJ16" s="271" t="s">
        <v>638</v>
      </c>
      <c r="AK16" s="271" t="s">
        <v>639</v>
      </c>
      <c r="AL16" s="271" t="s">
        <v>644</v>
      </c>
      <c r="AM16" s="271" t="s">
        <v>640</v>
      </c>
      <c r="AN16" s="271" t="s">
        <v>645</v>
      </c>
      <c r="AO16" s="271" t="s">
        <v>641</v>
      </c>
      <c r="AP16" s="271" t="s">
        <v>642</v>
      </c>
      <c r="AQ16" s="284" t="s">
        <v>654</v>
      </c>
      <c r="AR16" s="284" t="s">
        <v>655</v>
      </c>
      <c r="AS16" s="284" t="s">
        <v>656</v>
      </c>
      <c r="AT16" s="284" t="s">
        <v>657</v>
      </c>
    </row>
    <row r="17" spans="1:46" ht="12.75" customHeight="1">
      <c r="A17" s="263" t="s">
        <v>33</v>
      </c>
      <c r="B17" s="264" t="s">
        <v>363</v>
      </c>
      <c r="D17" s="264" t="s">
        <v>241</v>
      </c>
      <c r="G17" s="269">
        <v>1012</v>
      </c>
      <c r="I17" s="380">
        <f t="shared" si="0"/>
        <v>1012</v>
      </c>
      <c r="J17" s="269">
        <v>5270</v>
      </c>
      <c r="K17" s="269">
        <v>133872685.438411</v>
      </c>
      <c r="L17" s="269">
        <v>19822539</v>
      </c>
      <c r="M17" s="269">
        <v>2912398.7436199998</v>
      </c>
      <c r="N17" s="269">
        <v>25810016</v>
      </c>
      <c r="O17" s="269">
        <v>23978.340719846801</v>
      </c>
      <c r="P17" s="269">
        <v>18241797</v>
      </c>
      <c r="Q17" s="269">
        <v>29953</v>
      </c>
      <c r="R17" s="269">
        <v>122145.44542475</v>
      </c>
      <c r="S17" s="269">
        <v>11341215822</v>
      </c>
      <c r="T17" s="269">
        <v>9130877930</v>
      </c>
      <c r="U17" s="269">
        <v>12178137528.91</v>
      </c>
      <c r="V17" s="269">
        <v>6900757</v>
      </c>
      <c r="W17" s="269">
        <v>85459</v>
      </c>
      <c r="X17" s="269">
        <v>25050</v>
      </c>
      <c r="Y17" s="269">
        <v>4373543.3289168403</v>
      </c>
      <c r="Z17" s="269">
        <v>685485</v>
      </c>
      <c r="AA17" s="269">
        <v>8529803.0721458495</v>
      </c>
      <c r="AB17" s="269">
        <v>23250</v>
      </c>
      <c r="AC17" s="269">
        <v>13888</v>
      </c>
      <c r="AD17" s="269">
        <v>86277.493839874805</v>
      </c>
      <c r="AE17" s="269">
        <v>80697</v>
      </c>
      <c r="AF17" s="269">
        <v>10255</v>
      </c>
      <c r="AG17" s="269">
        <v>2360.0556497269899</v>
      </c>
      <c r="AH17" s="269">
        <v>68403</v>
      </c>
      <c r="AI17" s="269">
        <v>4764.7169999999996</v>
      </c>
      <c r="AJ17" s="269">
        <v>56279212376.838913</v>
      </c>
      <c r="AK17" s="269">
        <v>81990567.949727938</v>
      </c>
      <c r="AL17" s="269">
        <v>43027171.020999998</v>
      </c>
      <c r="AM17" s="269">
        <v>38164.967162537796</v>
      </c>
      <c r="AN17" s="269">
        <v>26158</v>
      </c>
      <c r="AO17" s="269">
        <v>187683958</v>
      </c>
      <c r="AP17" s="269">
        <v>57373506</v>
      </c>
      <c r="AQ17" s="264">
        <v>16580.782664802518</v>
      </c>
      <c r="AR17" s="264">
        <v>13555635.807394771</v>
      </c>
      <c r="AS17" s="264">
        <v>2324745.0554677192</v>
      </c>
      <c r="AT17" s="264">
        <v>6945316.4497400001</v>
      </c>
    </row>
    <row r="18" spans="1:46">
      <c r="D18" s="264" t="s">
        <v>56</v>
      </c>
      <c r="G18" s="269">
        <v>1013</v>
      </c>
      <c r="I18" s="380">
        <f t="shared" si="0"/>
        <v>1013</v>
      </c>
      <c r="J18" s="269">
        <v>6519</v>
      </c>
      <c r="K18" s="269">
        <v>333464176.87199998</v>
      </c>
      <c r="L18" s="269">
        <v>19343902</v>
      </c>
      <c r="M18" s="269">
        <v>8067085</v>
      </c>
      <c r="N18" s="269">
        <v>59144986</v>
      </c>
      <c r="O18" s="269">
        <v>29856</v>
      </c>
      <c r="P18" s="269">
        <v>8516050</v>
      </c>
      <c r="Q18" s="269">
        <v>61956</v>
      </c>
      <c r="R18" s="269">
        <v>163289.44245365032</v>
      </c>
      <c r="S18" s="269">
        <v>12120009110</v>
      </c>
      <c r="T18" s="269">
        <v>195508026</v>
      </c>
      <c r="U18" s="269">
        <v>20149079307.279999</v>
      </c>
      <c r="V18" s="269">
        <v>13271650</v>
      </c>
      <c r="W18" s="269">
        <v>469418</v>
      </c>
      <c r="X18" s="269">
        <v>121720.96000000001</v>
      </c>
      <c r="Y18" s="269">
        <v>16383709</v>
      </c>
      <c r="Z18" s="269">
        <v>4188151</v>
      </c>
      <c r="AA18" s="269">
        <v>19303527.70258816</v>
      </c>
      <c r="AB18" s="269">
        <v>76605</v>
      </c>
      <c r="AC18" s="269">
        <v>46551</v>
      </c>
      <c r="AD18" s="269">
        <v>232481.04038300001</v>
      </c>
      <c r="AE18" s="269">
        <v>269067</v>
      </c>
      <c r="AF18" s="269">
        <v>50285</v>
      </c>
      <c r="AG18" s="269">
        <v>0</v>
      </c>
      <c r="AH18" s="269">
        <v>95517</v>
      </c>
      <c r="AI18" s="269">
        <v>3529</v>
      </c>
      <c r="AJ18" s="269">
        <v>228835403200</v>
      </c>
      <c r="AK18" s="269">
        <v>280908906.17895299</v>
      </c>
      <c r="AL18" s="269">
        <v>59268816</v>
      </c>
      <c r="AM18" s="269">
        <v>127040.30250445573</v>
      </c>
      <c r="AN18" s="269">
        <v>51199</v>
      </c>
      <c r="AO18" s="269">
        <v>113059381</v>
      </c>
      <c r="AP18" s="269">
        <v>83856669</v>
      </c>
      <c r="AQ18" s="264">
        <v>45133.421999999991</v>
      </c>
      <c r="AR18" s="264">
        <v>19392474</v>
      </c>
      <c r="AS18" s="264">
        <v>214132</v>
      </c>
      <c r="AT18" s="264">
        <v>13591662.27764</v>
      </c>
    </row>
    <row r="19" spans="1:46">
      <c r="D19" s="264" t="s">
        <v>57</v>
      </c>
      <c r="G19" s="269">
        <v>1014</v>
      </c>
      <c r="I19" s="380">
        <f t="shared" si="0"/>
        <v>1014</v>
      </c>
      <c r="J19" s="269">
        <v>265.60285464817599</v>
      </c>
      <c r="K19" s="269">
        <v>2212106.6399999997</v>
      </c>
      <c r="L19" s="269">
        <v>5130183</v>
      </c>
      <c r="M19" s="269">
        <v>7242839.8849999998</v>
      </c>
      <c r="N19" s="269">
        <v>5885178</v>
      </c>
      <c r="O19" s="269">
        <v>9963</v>
      </c>
      <c r="P19" s="269">
        <v>143406</v>
      </c>
      <c r="Q19" s="269">
        <v>2949</v>
      </c>
      <c r="R19" s="269">
        <v>13853.253933030001</v>
      </c>
      <c r="S19" s="269">
        <v>2340238520.5619998</v>
      </c>
      <c r="T19" s="269">
        <v>107961227</v>
      </c>
      <c r="U19" s="269">
        <v>4829229876.4700003</v>
      </c>
      <c r="V19" s="269">
        <v>828525</v>
      </c>
      <c r="W19" s="269">
        <v>7355.4</v>
      </c>
      <c r="X19" s="269">
        <v>4536</v>
      </c>
      <c r="Y19" s="269">
        <v>1414084.2223744707</v>
      </c>
      <c r="Z19" s="269">
        <v>514951</v>
      </c>
      <c r="AA19" s="269">
        <v>1077913.1850000001</v>
      </c>
      <c r="AB19" s="269">
        <v>15595</v>
      </c>
      <c r="AC19" s="269">
        <v>1225</v>
      </c>
      <c r="AD19" s="269">
        <v>23963.542718074743</v>
      </c>
      <c r="AE19" s="269">
        <v>8414</v>
      </c>
      <c r="AF19" s="269">
        <v>13330</v>
      </c>
      <c r="AG19" s="269">
        <v>4229.5346647159995</v>
      </c>
      <c r="AH19" s="269">
        <v>24972</v>
      </c>
      <c r="AI19" s="269">
        <v>2196.6480000000001</v>
      </c>
      <c r="AJ19" s="269">
        <v>15445970743.2328</v>
      </c>
      <c r="AK19" s="269">
        <v>4126227.2121786056</v>
      </c>
      <c r="AL19" s="269">
        <v>3364065</v>
      </c>
      <c r="AM19" s="269">
        <v>16655.07499259973</v>
      </c>
      <c r="AN19" s="269">
        <v>641</v>
      </c>
      <c r="AO19" s="269">
        <v>27242657</v>
      </c>
      <c r="AP19" s="269">
        <v>10511923</v>
      </c>
      <c r="AQ19" s="264">
        <v>19419.486000000001</v>
      </c>
      <c r="AR19" s="264">
        <v>35263</v>
      </c>
      <c r="AS19" s="264">
        <v>711787.28700000001</v>
      </c>
      <c r="AT19" s="264">
        <v>577937.34118613508</v>
      </c>
    </row>
    <row r="20" spans="1:46">
      <c r="D20" s="264" t="s">
        <v>58</v>
      </c>
      <c r="G20" s="269">
        <v>1015</v>
      </c>
      <c r="I20" s="380">
        <f t="shared" si="0"/>
        <v>1015</v>
      </c>
      <c r="J20" s="269">
        <v>194588.982112</v>
      </c>
      <c r="K20" s="269">
        <v>1814538008.3405008</v>
      </c>
      <c r="L20" s="269">
        <v>456120156</v>
      </c>
      <c r="M20" s="269">
        <v>167129007</v>
      </c>
      <c r="N20" s="269">
        <v>747253878</v>
      </c>
      <c r="O20" s="269">
        <v>643352.65928015299</v>
      </c>
      <c r="P20" s="269">
        <v>200847705</v>
      </c>
      <c r="Q20" s="269">
        <v>427441</v>
      </c>
      <c r="R20" s="269">
        <v>866436.5915035801</v>
      </c>
      <c r="S20" s="269">
        <v>282155653587</v>
      </c>
      <c r="T20" s="269">
        <v>159643169988</v>
      </c>
      <c r="U20" s="269">
        <v>214401344443.95001</v>
      </c>
      <c r="V20" s="269">
        <v>174545962</v>
      </c>
      <c r="W20" s="269">
        <v>2462662</v>
      </c>
      <c r="X20" s="269">
        <v>967611.01</v>
      </c>
      <c r="Y20" s="269">
        <v>561131826.75719631</v>
      </c>
      <c r="Z20" s="269">
        <v>205166850</v>
      </c>
      <c r="AA20" s="269">
        <v>359981319.38008422</v>
      </c>
      <c r="AB20" s="269">
        <v>905728</v>
      </c>
      <c r="AC20" s="269">
        <v>600417</v>
      </c>
      <c r="AD20" s="269">
        <v>791413.871636</v>
      </c>
      <c r="AE20" s="269">
        <v>2238228</v>
      </c>
      <c r="AF20" s="269">
        <v>626067</v>
      </c>
      <c r="AG20" s="269">
        <v>193164.82734798</v>
      </c>
      <c r="AH20" s="269">
        <v>644148</v>
      </c>
      <c r="AI20" s="269">
        <v>181610.87299999999</v>
      </c>
      <c r="AJ20" s="269">
        <v>778470839767.47009</v>
      </c>
      <c r="AK20" s="269">
        <v>1292320178.3381901</v>
      </c>
      <c r="AL20" s="269">
        <v>2534114284</v>
      </c>
      <c r="AM20" s="269">
        <v>1140573.4316782043</v>
      </c>
      <c r="AN20" s="269">
        <v>460025</v>
      </c>
      <c r="AO20" s="269">
        <v>2009150354</v>
      </c>
      <c r="AP20" s="269">
        <v>1775766632</v>
      </c>
      <c r="AQ20" s="264">
        <v>1108427.7387892101</v>
      </c>
      <c r="AR20" s="264">
        <v>569268388</v>
      </c>
      <c r="AS20" s="264">
        <v>219603969</v>
      </c>
      <c r="AT20" s="264">
        <v>288147794.44381303</v>
      </c>
    </row>
    <row r="21" spans="1:46">
      <c r="D21" s="264" t="s">
        <v>30</v>
      </c>
      <c r="G21" s="269">
        <v>1016</v>
      </c>
      <c r="I21" s="380">
        <f t="shared" si="0"/>
        <v>1016</v>
      </c>
      <c r="J21" s="269">
        <v>0</v>
      </c>
      <c r="K21" s="269">
        <v>0</v>
      </c>
      <c r="L21" s="269">
        <v>0</v>
      </c>
      <c r="M21" s="269">
        <v>0</v>
      </c>
      <c r="N21" s="269">
        <v>0</v>
      </c>
      <c r="O21" s="269">
        <v>0</v>
      </c>
      <c r="P21" s="269">
        <v>0</v>
      </c>
      <c r="Q21" s="269">
        <v>0</v>
      </c>
      <c r="R21" s="269">
        <v>0</v>
      </c>
      <c r="S21" s="269">
        <v>0</v>
      </c>
      <c r="T21" s="269">
        <v>178656252</v>
      </c>
      <c r="U21" s="269">
        <v>0</v>
      </c>
      <c r="V21" s="269">
        <v>0</v>
      </c>
      <c r="W21" s="269">
        <v>0</v>
      </c>
      <c r="X21" s="269">
        <v>0</v>
      </c>
      <c r="Y21" s="269">
        <v>189368</v>
      </c>
      <c r="Z21" s="269">
        <v>0</v>
      </c>
      <c r="AA21" s="269">
        <v>0</v>
      </c>
      <c r="AB21" s="269">
        <v>0</v>
      </c>
      <c r="AC21" s="269">
        <v>0</v>
      </c>
      <c r="AD21" s="269">
        <v>0</v>
      </c>
      <c r="AE21" s="269">
        <v>0</v>
      </c>
      <c r="AF21" s="269">
        <v>0</v>
      </c>
      <c r="AG21" s="269">
        <v>0</v>
      </c>
      <c r="AH21" s="269">
        <v>0</v>
      </c>
      <c r="AI21" s="269">
        <v>0</v>
      </c>
      <c r="AJ21" s="269">
        <v>0</v>
      </c>
      <c r="AK21" s="269">
        <v>0</v>
      </c>
      <c r="AL21" s="269">
        <v>0</v>
      </c>
      <c r="AM21" s="269">
        <v>0</v>
      </c>
      <c r="AN21" s="269">
        <v>0</v>
      </c>
      <c r="AO21" s="269">
        <v>0</v>
      </c>
      <c r="AP21" s="269">
        <v>0</v>
      </c>
      <c r="AQ21" s="264">
        <v>0</v>
      </c>
      <c r="AR21" s="264">
        <v>0</v>
      </c>
      <c r="AS21" s="264">
        <v>0</v>
      </c>
      <c r="AT21" s="264">
        <v>0</v>
      </c>
    </row>
    <row r="22" spans="1:46">
      <c r="D22" s="264" t="s">
        <v>243</v>
      </c>
      <c r="G22" s="269">
        <v>1017</v>
      </c>
      <c r="I22" s="380">
        <f t="shared" si="0"/>
        <v>1017</v>
      </c>
      <c r="J22" s="269">
        <v>206643.58496664817</v>
      </c>
      <c r="K22" s="269">
        <v>2284086977.2909117</v>
      </c>
      <c r="L22" s="269">
        <v>500416780</v>
      </c>
      <c r="M22" s="269">
        <v>185351330.62862</v>
      </c>
      <c r="N22" s="269">
        <v>838094058</v>
      </c>
      <c r="O22" s="269">
        <v>707149.99999999977</v>
      </c>
      <c r="P22" s="269">
        <v>227748958</v>
      </c>
      <c r="Q22" s="269">
        <v>522299</v>
      </c>
      <c r="R22" s="269">
        <v>1165724.7333150106</v>
      </c>
      <c r="S22" s="269">
        <v>307957117039.56201</v>
      </c>
      <c r="T22" s="269">
        <v>168898860919</v>
      </c>
      <c r="U22" s="269">
        <v>251557791156.61002</v>
      </c>
      <c r="V22" s="269">
        <v>195546894</v>
      </c>
      <c r="W22" s="269">
        <v>3024894.4</v>
      </c>
      <c r="X22" s="269">
        <v>1118917.97</v>
      </c>
      <c r="Y22" s="269">
        <v>583113795.30848765</v>
      </c>
      <c r="Z22" s="269">
        <v>210555437</v>
      </c>
      <c r="AA22" s="269">
        <v>388892563.33981824</v>
      </c>
      <c r="AB22" s="269">
        <v>1021178</v>
      </c>
      <c r="AC22" s="269">
        <v>662081</v>
      </c>
      <c r="AD22" s="269">
        <v>1134135.9485769495</v>
      </c>
      <c r="AE22" s="269">
        <v>2596406</v>
      </c>
      <c r="AF22" s="269">
        <v>699937</v>
      </c>
      <c r="AG22" s="269">
        <v>199754.41766242299</v>
      </c>
      <c r="AH22" s="269">
        <v>833040</v>
      </c>
      <c r="AI22" s="269">
        <v>192101.23799999998</v>
      </c>
      <c r="AJ22" s="269">
        <v>1079031426087.5417</v>
      </c>
      <c r="AK22" s="269">
        <v>1659345879.6790495</v>
      </c>
      <c r="AL22" s="269">
        <v>2639774336.0209999</v>
      </c>
      <c r="AM22" s="269">
        <v>1322433.7763377975</v>
      </c>
      <c r="AN22" s="269">
        <v>538023</v>
      </c>
      <c r="AO22" s="269">
        <v>2337136350</v>
      </c>
      <c r="AP22" s="269">
        <v>1927508730</v>
      </c>
      <c r="AQ22" s="264">
        <v>1189561.4294540125</v>
      </c>
      <c r="AR22" s="264">
        <v>602251760.80739474</v>
      </c>
      <c r="AS22" s="264">
        <v>222854633.34246773</v>
      </c>
      <c r="AT22" s="264">
        <v>309262710.51237917</v>
      </c>
    </row>
    <row r="23" spans="1:46">
      <c r="D23" s="264" t="s">
        <v>242</v>
      </c>
      <c r="G23" s="269">
        <v>1018</v>
      </c>
      <c r="I23" s="380">
        <f t="shared" si="0"/>
        <v>1018</v>
      </c>
      <c r="J23" s="269">
        <v>4051.27797104197</v>
      </c>
      <c r="K23" s="269">
        <v>15389540.226167001</v>
      </c>
      <c r="L23" s="269">
        <v>10200233</v>
      </c>
      <c r="M23" s="269">
        <v>2717226.6353799999</v>
      </c>
      <c r="N23" s="269">
        <v>17856355</v>
      </c>
      <c r="O23" s="269">
        <v>46253.817166859102</v>
      </c>
      <c r="P23" s="269">
        <v>4991500</v>
      </c>
      <c r="Q23" s="269">
        <v>25167</v>
      </c>
      <c r="R23" s="269">
        <v>227352.18727579998</v>
      </c>
      <c r="S23" s="269">
        <v>11285302833</v>
      </c>
      <c r="T23" s="269">
        <v>2603054728</v>
      </c>
      <c r="U23" s="269">
        <v>6718397423.1899996</v>
      </c>
      <c r="V23" s="269">
        <v>2374786</v>
      </c>
      <c r="W23" s="269">
        <v>125866</v>
      </c>
      <c r="X23" s="269">
        <v>23514</v>
      </c>
      <c r="Y23" s="269">
        <v>2895656.9983131597</v>
      </c>
      <c r="Z23" s="269">
        <v>515688</v>
      </c>
      <c r="AA23" s="269">
        <v>4971774.1638884507</v>
      </c>
      <c r="AB23" s="269">
        <v>23093</v>
      </c>
      <c r="AC23" s="269">
        <v>13248</v>
      </c>
      <c r="AD23" s="269">
        <v>178462.64834524447</v>
      </c>
      <c r="AE23" s="269">
        <v>148331</v>
      </c>
      <c r="AF23" s="269">
        <v>12722</v>
      </c>
      <c r="AG23" s="269">
        <v>1457.6995421041099</v>
      </c>
      <c r="AH23" s="269">
        <v>98814</v>
      </c>
      <c r="AI23" s="269">
        <v>1907.2190000000001</v>
      </c>
      <c r="AJ23" s="269">
        <v>102215794338.39328</v>
      </c>
      <c r="AK23" s="269">
        <v>282166136.24017906</v>
      </c>
      <c r="AL23" s="269">
        <v>30843753</v>
      </c>
      <c r="AM23" s="269">
        <v>27158.939629033201</v>
      </c>
      <c r="AN23" s="269">
        <v>25951</v>
      </c>
      <c r="AO23" s="269">
        <v>51858633</v>
      </c>
      <c r="AP23" s="269">
        <v>30412033</v>
      </c>
      <c r="AQ23" s="264">
        <v>21575.117897788947</v>
      </c>
      <c r="AR23" s="264">
        <v>12666851</v>
      </c>
      <c r="AS23" s="264">
        <v>222727.29699999999</v>
      </c>
      <c r="AT23" s="264">
        <v>2483292.1440069</v>
      </c>
    </row>
    <row r="24" spans="1:46">
      <c r="D24" s="264" t="s">
        <v>401</v>
      </c>
      <c r="G24" s="269">
        <v>1019</v>
      </c>
      <c r="I24" s="380">
        <f t="shared" si="0"/>
        <v>1019</v>
      </c>
      <c r="J24" s="269">
        <v>22344.967031092499</v>
      </c>
      <c r="K24" s="269">
        <v>4943956</v>
      </c>
      <c r="L24" s="269">
        <v>140853300</v>
      </c>
      <c r="M24" s="269">
        <v>39027325.990000002</v>
      </c>
      <c r="N24" s="269">
        <v>165573078</v>
      </c>
      <c r="O24" s="269">
        <v>110882.58322377001</v>
      </c>
      <c r="P24" s="269">
        <v>18258944</v>
      </c>
      <c r="Q24" s="269">
        <v>51391</v>
      </c>
      <c r="R24" s="269">
        <v>44031.030228472984</v>
      </c>
      <c r="S24" s="269">
        <v>17013007778</v>
      </c>
      <c r="T24" s="269">
        <v>3964611017</v>
      </c>
      <c r="U24" s="269">
        <v>17657421120.189999</v>
      </c>
      <c r="V24" s="269">
        <v>8191965</v>
      </c>
      <c r="W24" s="269">
        <v>14106</v>
      </c>
      <c r="X24" s="269">
        <v>16562</v>
      </c>
      <c r="Y24" s="269">
        <v>3921132.9380000001</v>
      </c>
      <c r="Z24" s="269">
        <v>8595440.2122900002</v>
      </c>
      <c r="AA24" s="269">
        <v>78509208.181681484</v>
      </c>
      <c r="AB24" s="269">
        <v>70284</v>
      </c>
      <c r="AC24" s="269">
        <v>51327</v>
      </c>
      <c r="AD24" s="269">
        <v>135437.57764771904</v>
      </c>
      <c r="AE24" s="269">
        <v>492056</v>
      </c>
      <c r="AF24" s="269">
        <v>43799</v>
      </c>
      <c r="AG24" s="269">
        <v>7925.6569818395001</v>
      </c>
      <c r="AH24" s="269">
        <v>86069</v>
      </c>
      <c r="AI24" s="269">
        <v>9080.6029999999992</v>
      </c>
      <c r="AJ24" s="269">
        <v>4848086262.7641001</v>
      </c>
      <c r="AK24" s="269">
        <v>42740514</v>
      </c>
      <c r="AL24" s="269">
        <v>106532537</v>
      </c>
      <c r="AM24" s="269">
        <v>34171.918024553597</v>
      </c>
      <c r="AN24" s="269">
        <v>46306</v>
      </c>
      <c r="AO24" s="269">
        <v>56022121</v>
      </c>
      <c r="AP24" s="269">
        <v>27958481</v>
      </c>
      <c r="AQ24" s="264">
        <v>77106.412469999996</v>
      </c>
      <c r="AR24" s="264">
        <v>50991876.98400934</v>
      </c>
      <c r="AS24" s="264">
        <v>9375664</v>
      </c>
      <c r="AT24" s="264">
        <v>37024243.57731346</v>
      </c>
    </row>
    <row r="25" spans="1:46">
      <c r="D25" s="264" t="s">
        <v>31</v>
      </c>
      <c r="G25" s="269">
        <v>1020</v>
      </c>
      <c r="I25" s="380">
        <f t="shared" si="0"/>
        <v>1020</v>
      </c>
      <c r="J25" s="269">
        <v>0</v>
      </c>
      <c r="K25" s="269">
        <v>0</v>
      </c>
      <c r="L25" s="269">
        <v>314519</v>
      </c>
      <c r="M25" s="269">
        <v>0</v>
      </c>
      <c r="N25" s="269">
        <v>7012666</v>
      </c>
      <c r="O25" s="269">
        <v>22466.178926608798</v>
      </c>
      <c r="P25" s="269">
        <v>8852093</v>
      </c>
      <c r="Q25" s="269">
        <v>5274</v>
      </c>
      <c r="R25" s="269">
        <v>2750.58837042</v>
      </c>
      <c r="S25" s="269">
        <v>0</v>
      </c>
      <c r="T25" s="269">
        <v>336342026</v>
      </c>
      <c r="U25" s="269">
        <v>1092741173.1099999</v>
      </c>
      <c r="V25" s="269">
        <v>192859</v>
      </c>
      <c r="W25" s="269">
        <v>6422</v>
      </c>
      <c r="X25" s="269">
        <v>9974</v>
      </c>
      <c r="Y25" s="269">
        <v>3274946.3749600002</v>
      </c>
      <c r="Z25" s="269">
        <v>0</v>
      </c>
      <c r="AA25" s="269">
        <v>7193389.5070000002</v>
      </c>
      <c r="AB25" s="269">
        <v>2472</v>
      </c>
      <c r="AC25" s="269">
        <v>0</v>
      </c>
      <c r="AD25" s="269">
        <v>102888.4588423664</v>
      </c>
      <c r="AE25" s="269">
        <v>138479</v>
      </c>
      <c r="AF25" s="269">
        <v>34082</v>
      </c>
      <c r="AG25" s="269">
        <v>6088.9416198394701</v>
      </c>
      <c r="AH25" s="269">
        <v>26917</v>
      </c>
      <c r="AI25" s="269">
        <v>0</v>
      </c>
      <c r="AJ25" s="269">
        <v>0</v>
      </c>
      <c r="AK25" s="269">
        <v>0</v>
      </c>
      <c r="AL25" s="269">
        <v>0</v>
      </c>
      <c r="AM25" s="269">
        <v>0</v>
      </c>
      <c r="AN25" s="269">
        <v>0</v>
      </c>
      <c r="AO25" s="269">
        <v>24044501</v>
      </c>
      <c r="AP25" s="269">
        <v>17687190</v>
      </c>
      <c r="AQ25" s="264">
        <v>0</v>
      </c>
      <c r="AR25" s="264">
        <v>26235315</v>
      </c>
      <c r="AS25" s="264">
        <v>2598106</v>
      </c>
      <c r="AT25" s="264">
        <v>0</v>
      </c>
    </row>
    <row r="26" spans="1:46">
      <c r="D26" s="264" t="s">
        <v>32</v>
      </c>
      <c r="G26" s="269">
        <v>1021</v>
      </c>
      <c r="I26" s="380">
        <f t="shared" si="0"/>
        <v>1021</v>
      </c>
      <c r="J26" s="269">
        <v>22344.967031092499</v>
      </c>
      <c r="K26" s="269">
        <v>4943956</v>
      </c>
      <c r="L26" s="269">
        <v>139809519</v>
      </c>
      <c r="M26" s="269">
        <v>39027325.990000002</v>
      </c>
      <c r="N26" s="269">
        <v>151073605</v>
      </c>
      <c r="O26" s="269">
        <v>88416.404297161207</v>
      </c>
      <c r="P26" s="269">
        <v>6343095</v>
      </c>
      <c r="Q26" s="269">
        <v>46117</v>
      </c>
      <c r="R26" s="269">
        <v>41280.441858052989</v>
      </c>
      <c r="S26" s="269">
        <v>17013007778</v>
      </c>
      <c r="T26" s="269">
        <v>3023366118</v>
      </c>
      <c r="U26" s="269">
        <v>16473814981.219999</v>
      </c>
      <c r="V26" s="269">
        <v>7552425</v>
      </c>
      <c r="W26" s="269">
        <v>7580</v>
      </c>
      <c r="X26" s="269">
        <v>0</v>
      </c>
      <c r="Y26" s="269">
        <v>371233.77609</v>
      </c>
      <c r="Z26" s="269">
        <v>8595440.2122900002</v>
      </c>
      <c r="AA26" s="269">
        <v>71315818.674681485</v>
      </c>
      <c r="AB26" s="269">
        <v>67812</v>
      </c>
      <c r="AC26" s="269">
        <v>51327</v>
      </c>
      <c r="AD26" s="269">
        <v>32549.118805352642</v>
      </c>
      <c r="AE26" s="269">
        <v>353577</v>
      </c>
      <c r="AF26" s="269">
        <v>9717</v>
      </c>
      <c r="AG26" s="269">
        <v>1836.7153619999999</v>
      </c>
      <c r="AH26" s="269">
        <v>59152</v>
      </c>
      <c r="AI26" s="269">
        <v>9053.6659999999993</v>
      </c>
      <c r="AJ26" s="269">
        <v>4224312675.756</v>
      </c>
      <c r="AK26" s="269">
        <v>5919332</v>
      </c>
      <c r="AL26" s="269">
        <v>106532537</v>
      </c>
      <c r="AM26" s="269">
        <v>0</v>
      </c>
      <c r="AN26" s="269">
        <v>46306</v>
      </c>
      <c r="AO26" s="269">
        <v>31977620</v>
      </c>
      <c r="AP26" s="269">
        <v>1204329</v>
      </c>
      <c r="AQ26" s="264">
        <v>0</v>
      </c>
      <c r="AR26" s="264">
        <v>24756561.98400934</v>
      </c>
      <c r="AS26" s="264">
        <v>6777558</v>
      </c>
      <c r="AT26" s="264">
        <v>1928504.76394</v>
      </c>
    </row>
    <row r="27" spans="1:46">
      <c r="D27" s="264" t="s">
        <v>402</v>
      </c>
      <c r="G27" s="269">
        <v>1022</v>
      </c>
      <c r="I27" s="380">
        <f t="shared" si="0"/>
        <v>1022</v>
      </c>
      <c r="J27" s="269">
        <v>6945.6468892225103</v>
      </c>
      <c r="K27" s="269">
        <v>377116607.85546404</v>
      </c>
      <c r="L27" s="269">
        <v>4723814</v>
      </c>
      <c r="M27" s="269">
        <v>849489.72</v>
      </c>
      <c r="N27" s="269">
        <v>21643893</v>
      </c>
      <c r="O27" s="269">
        <v>23155.0721422604</v>
      </c>
      <c r="P27" s="269">
        <v>2981536</v>
      </c>
      <c r="Q27" s="269">
        <v>43210</v>
      </c>
      <c r="R27" s="269">
        <v>51515.753358039627</v>
      </c>
      <c r="S27" s="269">
        <v>5671074410</v>
      </c>
      <c r="T27" s="269">
        <v>4910746528</v>
      </c>
      <c r="U27" s="269">
        <v>4581026171.75</v>
      </c>
      <c r="V27" s="269">
        <v>3184504</v>
      </c>
      <c r="W27" s="269">
        <v>60405</v>
      </c>
      <c r="X27" s="269">
        <v>24902</v>
      </c>
      <c r="Y27" s="269">
        <v>25899135.021000002</v>
      </c>
      <c r="Z27" s="269">
        <v>6158561</v>
      </c>
      <c r="AA27" s="269">
        <v>859310.65346450615</v>
      </c>
      <c r="AB27" s="269">
        <v>21070</v>
      </c>
      <c r="AC27" s="269">
        <v>13638</v>
      </c>
      <c r="AD27" s="269">
        <v>25090.489653431483</v>
      </c>
      <c r="AE27" s="269">
        <v>5161</v>
      </c>
      <c r="AF27" s="269">
        <v>10768</v>
      </c>
      <c r="AG27" s="269">
        <v>5601.1052057899997</v>
      </c>
      <c r="AH27" s="269">
        <v>24136</v>
      </c>
      <c r="AI27" s="269">
        <v>4608.1689999999999</v>
      </c>
      <c r="AJ27" s="269">
        <v>39252942086.143402</v>
      </c>
      <c r="AK27" s="269">
        <v>73499529</v>
      </c>
      <c r="AL27" s="269">
        <v>62503566</v>
      </c>
      <c r="AM27" s="269">
        <v>52899.23176592958</v>
      </c>
      <c r="AN27" s="269">
        <v>153</v>
      </c>
      <c r="AO27" s="269">
        <v>45090841</v>
      </c>
      <c r="AP27" s="269">
        <v>50449674</v>
      </c>
      <c r="AQ27" s="264">
        <v>36640.932269999998</v>
      </c>
      <c r="AR27" s="264">
        <v>15371672.831009287</v>
      </c>
      <c r="AS27" s="264">
        <v>3127590</v>
      </c>
      <c r="AT27" s="264">
        <v>7717896.881470005</v>
      </c>
    </row>
    <row r="28" spans="1:46">
      <c r="D28" s="264" t="s">
        <v>403</v>
      </c>
      <c r="G28" s="269">
        <v>1023</v>
      </c>
      <c r="I28" s="380">
        <f t="shared" si="0"/>
        <v>1023</v>
      </c>
      <c r="J28" s="269">
        <v>7649.7401279481201</v>
      </c>
      <c r="K28" s="269">
        <v>315398530.90030903</v>
      </c>
      <c r="L28" s="269">
        <v>67728143</v>
      </c>
      <c r="M28" s="269">
        <v>6948802.8899999997</v>
      </c>
      <c r="N28" s="269">
        <v>109495183</v>
      </c>
      <c r="O28" s="269">
        <v>72639.202597305601</v>
      </c>
      <c r="P28" s="269">
        <v>29567990</v>
      </c>
      <c r="Q28" s="269">
        <v>45471</v>
      </c>
      <c r="R28" s="269">
        <v>137293.89034726765</v>
      </c>
      <c r="S28" s="269">
        <v>20460271715.428902</v>
      </c>
      <c r="T28" s="269">
        <v>16313478295</v>
      </c>
      <c r="U28" s="269">
        <v>24096194237.150002</v>
      </c>
      <c r="V28" s="269">
        <v>9736491</v>
      </c>
      <c r="W28" s="269">
        <v>160868</v>
      </c>
      <c r="X28" s="269">
        <v>84749.9</v>
      </c>
      <c r="Y28" s="269">
        <v>50291903.091389999</v>
      </c>
      <c r="Z28" s="269">
        <v>1854595.72884</v>
      </c>
      <c r="AA28" s="269">
        <v>9096474.6792315915</v>
      </c>
      <c r="AB28" s="269">
        <v>90567</v>
      </c>
      <c r="AC28" s="269">
        <v>32753</v>
      </c>
      <c r="AD28" s="269">
        <v>128111.25233871707</v>
      </c>
      <c r="AE28" s="269">
        <v>59423</v>
      </c>
      <c r="AF28" s="269">
        <v>46950</v>
      </c>
      <c r="AG28" s="269">
        <v>9551.7562845796001</v>
      </c>
      <c r="AH28" s="269">
        <v>127350</v>
      </c>
      <c r="AI28" s="269">
        <v>15635.951999999999</v>
      </c>
      <c r="AJ28" s="269">
        <v>92980383993.186203</v>
      </c>
      <c r="AK28" s="269">
        <v>192952532</v>
      </c>
      <c r="AL28" s="269">
        <v>276413726</v>
      </c>
      <c r="AM28" s="269">
        <v>122639.1744833649</v>
      </c>
      <c r="AN28" s="269">
        <v>56712</v>
      </c>
      <c r="AO28" s="269">
        <v>387013771</v>
      </c>
      <c r="AP28" s="269">
        <v>185054466</v>
      </c>
      <c r="AQ28" s="264">
        <v>80034.625280000007</v>
      </c>
      <c r="AR28" s="264">
        <v>69834594.945484504</v>
      </c>
      <c r="AS28" s="264">
        <v>6957201</v>
      </c>
      <c r="AT28" s="264">
        <v>29879471.173246533</v>
      </c>
    </row>
    <row r="29" spans="1:46">
      <c r="D29" s="264" t="s">
        <v>404</v>
      </c>
      <c r="G29" s="269">
        <v>1024</v>
      </c>
      <c r="I29" s="380">
        <f t="shared" si="0"/>
        <v>1024</v>
      </c>
      <c r="J29" s="269">
        <v>6293.5014962497498</v>
      </c>
      <c r="K29" s="269">
        <v>17782689.199999999</v>
      </c>
      <c r="L29" s="269">
        <v>12910884</v>
      </c>
      <c r="M29" s="269">
        <v>3459220.7</v>
      </c>
      <c r="N29" s="269">
        <v>21655380</v>
      </c>
      <c r="O29" s="269">
        <v>15003.553428520201</v>
      </c>
      <c r="P29" s="269">
        <v>6158285</v>
      </c>
      <c r="Q29" s="269">
        <v>7039</v>
      </c>
      <c r="R29" s="269">
        <v>43843.378602030491</v>
      </c>
      <c r="S29" s="269">
        <v>5799283044</v>
      </c>
      <c r="T29" s="269">
        <v>2577886299</v>
      </c>
      <c r="U29" s="269">
        <v>1221084846.5999999</v>
      </c>
      <c r="V29" s="269">
        <v>3996355</v>
      </c>
      <c r="W29" s="269">
        <v>331951</v>
      </c>
      <c r="X29" s="269">
        <v>13221.9</v>
      </c>
      <c r="Y29" s="269">
        <v>3001839.0194800003</v>
      </c>
      <c r="Z29" s="269">
        <v>4803056.8628700003</v>
      </c>
      <c r="AA29" s="269">
        <v>8895813.7785208337</v>
      </c>
      <c r="AB29" s="269">
        <v>5706</v>
      </c>
      <c r="AC29" s="269">
        <v>6281</v>
      </c>
      <c r="AD29" s="269">
        <v>32185.139499157878</v>
      </c>
      <c r="AE29" s="269">
        <v>327313</v>
      </c>
      <c r="AF29" s="269">
        <v>20972</v>
      </c>
      <c r="AG29" s="269">
        <v>0</v>
      </c>
      <c r="AH29" s="269">
        <v>19398</v>
      </c>
      <c r="AI29" s="269">
        <v>3560.5450000000001</v>
      </c>
      <c r="AJ29" s="269">
        <v>24456858731.153301</v>
      </c>
      <c r="AK29" s="269">
        <v>24830425</v>
      </c>
      <c r="AL29" s="269">
        <v>22803517</v>
      </c>
      <c r="AM29" s="269">
        <v>62986.540202275937</v>
      </c>
      <c r="AN29" s="269">
        <v>5522</v>
      </c>
      <c r="AO29" s="269">
        <v>107584834</v>
      </c>
      <c r="AP29" s="269">
        <v>11429239</v>
      </c>
      <c r="AQ29" s="264">
        <v>48595.207980000007</v>
      </c>
      <c r="AR29" s="264">
        <v>11311114.239496868</v>
      </c>
      <c r="AS29" s="264">
        <v>2339915</v>
      </c>
      <c r="AT29" s="264">
        <v>1447792.5922799993</v>
      </c>
    </row>
    <row r="30" spans="1:46">
      <c r="D30" s="264" t="s">
        <v>246</v>
      </c>
      <c r="G30" s="269">
        <v>1025</v>
      </c>
      <c r="I30" s="380">
        <f t="shared" si="0"/>
        <v>1025</v>
      </c>
      <c r="J30" s="269">
        <v>27174.663187571598</v>
      </c>
      <c r="K30" s="269">
        <v>726181763.7819401</v>
      </c>
      <c r="L30" s="269">
        <v>110304739.8</v>
      </c>
      <c r="M30" s="269">
        <v>17877472.544379998</v>
      </c>
      <c r="N30" s="269">
        <v>193946245.09999999</v>
      </c>
      <c r="O30" s="269">
        <v>168139.90365732228</v>
      </c>
      <c r="P30" s="269">
        <v>48282585.799999997</v>
      </c>
      <c r="Q30" s="269">
        <v>126026.1</v>
      </c>
      <c r="R30" s="269">
        <v>464408.31260598503</v>
      </c>
      <c r="S30" s="269">
        <v>44917232780.228897</v>
      </c>
      <c r="T30" s="269">
        <v>27346039537.400002</v>
      </c>
      <c r="U30" s="269">
        <v>38464223259.983002</v>
      </c>
      <c r="V30" s="269">
        <v>20513345.399999999</v>
      </c>
      <c r="W30" s="269">
        <v>680594.2</v>
      </c>
      <c r="X30" s="269">
        <v>153973.19999999998</v>
      </c>
      <c r="Y30" s="269">
        <v>82728104.932238162</v>
      </c>
      <c r="Z30" s="269">
        <v>14191445.612939</v>
      </c>
      <c r="AA30" s="269">
        <v>31674294.093273532</v>
      </c>
      <c r="AB30" s="269">
        <v>147464.4</v>
      </c>
      <c r="AC30" s="269">
        <v>71052.7</v>
      </c>
      <c r="AD30" s="269">
        <v>377393.28760132281</v>
      </c>
      <c r="AE30" s="269">
        <v>589433.59999999998</v>
      </c>
      <c r="AF30" s="269">
        <v>95791.9</v>
      </c>
      <c r="AG30" s="269">
        <v>17403.126730657685</v>
      </c>
      <c r="AH30" s="269">
        <v>278304.90000000002</v>
      </c>
      <c r="AI30" s="269">
        <v>26644.188600000001</v>
      </c>
      <c r="AJ30" s="269">
        <v>259952184003.45987</v>
      </c>
      <c r="AK30" s="269">
        <v>610861737.44017911</v>
      </c>
      <c r="AL30" s="269">
        <v>403217815.69999999</v>
      </c>
      <c r="AM30" s="269">
        <v>299855.80410515727</v>
      </c>
      <c r="AN30" s="269">
        <v>92968.6</v>
      </c>
      <c r="AO30" s="269">
        <v>597150291.10000002</v>
      </c>
      <c r="AP30" s="269">
        <v>288301525.89999998</v>
      </c>
      <c r="AQ30" s="264">
        <v>263952.29589778895</v>
      </c>
      <c r="AR30" s="264">
        <v>114283420.7143916</v>
      </c>
      <c r="AS30" s="264">
        <v>13584999.697000001</v>
      </c>
      <c r="AT30" s="264">
        <v>76817042.080770895</v>
      </c>
    </row>
    <row r="31" spans="1:46" ht="12.75" customHeight="1">
      <c r="C31" s="264" t="s">
        <v>93</v>
      </c>
      <c r="D31" s="264" t="s">
        <v>244</v>
      </c>
      <c r="G31" s="269">
        <v>1026</v>
      </c>
      <c r="I31" s="380">
        <f t="shared" si="0"/>
        <v>1026</v>
      </c>
      <c r="J31" s="269">
        <v>0</v>
      </c>
      <c r="K31" s="269">
        <v>7351167.3308769995</v>
      </c>
      <c r="L31" s="269">
        <v>96833319</v>
      </c>
      <c r="M31" s="269">
        <v>185104.3</v>
      </c>
      <c r="N31" s="269">
        <v>10865575</v>
      </c>
      <c r="O31" s="269">
        <v>0</v>
      </c>
      <c r="P31" s="269">
        <v>0</v>
      </c>
      <c r="Q31" s="269">
        <v>15387</v>
      </c>
      <c r="R31" s="269">
        <v>49198.134093000001</v>
      </c>
      <c r="S31" s="269">
        <v>3812188302.3200002</v>
      </c>
      <c r="T31" s="269">
        <v>1800768562</v>
      </c>
      <c r="U31" s="269">
        <v>1218056708.3699999</v>
      </c>
      <c r="V31" s="269">
        <v>3253610</v>
      </c>
      <c r="W31" s="269">
        <v>0</v>
      </c>
      <c r="X31" s="269">
        <v>70178.365012686991</v>
      </c>
      <c r="Y31" s="269">
        <v>39454437.145917863</v>
      </c>
      <c r="Z31" s="269">
        <v>0</v>
      </c>
      <c r="AA31" s="411">
        <v>0</v>
      </c>
      <c r="AB31" s="269">
        <v>0</v>
      </c>
      <c r="AC31" s="269">
        <v>0</v>
      </c>
      <c r="AD31" s="269">
        <v>10914.060527086485</v>
      </c>
      <c r="AE31" s="269">
        <v>104332</v>
      </c>
      <c r="AF31" s="269">
        <v>85289</v>
      </c>
      <c r="AG31" s="269">
        <v>0</v>
      </c>
      <c r="AH31" s="269">
        <v>2189</v>
      </c>
      <c r="AI31" s="269">
        <v>2734.4780000000001</v>
      </c>
      <c r="AJ31" s="269">
        <v>81045475333.759811</v>
      </c>
      <c r="AK31" s="269">
        <v>0</v>
      </c>
      <c r="AL31" s="269">
        <v>114211030.40966199</v>
      </c>
      <c r="AM31" s="269">
        <v>132953.9818978619</v>
      </c>
      <c r="AN31" s="269">
        <v>28394</v>
      </c>
      <c r="AO31" s="269">
        <v>0</v>
      </c>
      <c r="AP31" s="269">
        <v>140971122</v>
      </c>
      <c r="AQ31" s="264">
        <v>37770.922999999995</v>
      </c>
      <c r="AR31" s="264">
        <v>20832618</v>
      </c>
      <c r="AS31" s="264">
        <v>482162</v>
      </c>
      <c r="AT31" s="264">
        <v>3637704.91108</v>
      </c>
    </row>
    <row r="32" spans="1:46">
      <c r="D32" s="264" t="s">
        <v>68</v>
      </c>
      <c r="G32" s="269">
        <v>1027</v>
      </c>
      <c r="I32" s="380">
        <f t="shared" si="0"/>
        <v>1027</v>
      </c>
      <c r="J32" s="269">
        <v>0</v>
      </c>
      <c r="K32" s="269">
        <v>0</v>
      </c>
      <c r="L32" s="269">
        <v>268879</v>
      </c>
      <c r="M32" s="269">
        <v>0</v>
      </c>
      <c r="N32" s="269">
        <v>0</v>
      </c>
      <c r="O32" s="269">
        <v>0</v>
      </c>
      <c r="P32" s="269">
        <v>0</v>
      </c>
      <c r="Q32" s="269">
        <v>0</v>
      </c>
      <c r="R32" s="269">
        <v>17.282079</v>
      </c>
      <c r="S32" s="269">
        <v>3894349.77</v>
      </c>
      <c r="T32" s="269">
        <v>2603054728</v>
      </c>
      <c r="U32" s="269">
        <v>241250</v>
      </c>
      <c r="V32" s="269">
        <v>0</v>
      </c>
      <c r="W32" s="269">
        <v>0</v>
      </c>
      <c r="X32" s="269">
        <v>119.01792</v>
      </c>
      <c r="Y32" s="269">
        <v>0</v>
      </c>
      <c r="Z32" s="269">
        <v>0</v>
      </c>
      <c r="AA32" s="411">
        <v>0</v>
      </c>
      <c r="AB32" s="269">
        <v>0</v>
      </c>
      <c r="AC32" s="269">
        <v>0</v>
      </c>
      <c r="AD32" s="269">
        <v>0</v>
      </c>
      <c r="AE32" s="269">
        <v>172</v>
      </c>
      <c r="AF32" s="269">
        <v>0</v>
      </c>
      <c r="AG32" s="269">
        <v>0</v>
      </c>
      <c r="AH32" s="269">
        <v>0</v>
      </c>
      <c r="AI32" s="269">
        <v>0</v>
      </c>
      <c r="AJ32" s="269">
        <v>0</v>
      </c>
      <c r="AK32" s="269">
        <v>0</v>
      </c>
      <c r="AL32" s="269">
        <v>0</v>
      </c>
      <c r="AM32" s="269">
        <v>0</v>
      </c>
      <c r="AN32" s="269">
        <v>0</v>
      </c>
      <c r="AO32" s="269">
        <v>0</v>
      </c>
      <c r="AP32" s="269">
        <v>0</v>
      </c>
      <c r="AQ32" s="264">
        <v>944.96600000000001</v>
      </c>
      <c r="AR32" s="264">
        <v>158232</v>
      </c>
      <c r="AS32" s="264">
        <v>0</v>
      </c>
      <c r="AT32" s="264">
        <v>0</v>
      </c>
    </row>
    <row r="33" spans="1:46">
      <c r="D33" s="264" t="s">
        <v>69</v>
      </c>
      <c r="G33" s="269">
        <v>1028</v>
      </c>
      <c r="I33" s="380">
        <f t="shared" si="0"/>
        <v>1028</v>
      </c>
      <c r="J33" s="269">
        <v>0</v>
      </c>
      <c r="K33" s="269">
        <v>0</v>
      </c>
      <c r="L33" s="269">
        <v>0</v>
      </c>
      <c r="M33" s="269">
        <v>0</v>
      </c>
      <c r="N33" s="269">
        <v>0</v>
      </c>
      <c r="O33" s="269">
        <v>0</v>
      </c>
      <c r="P33" s="269">
        <v>0</v>
      </c>
      <c r="Q33" s="269">
        <v>5</v>
      </c>
      <c r="R33" s="269">
        <v>0</v>
      </c>
      <c r="S33" s="269">
        <v>0</v>
      </c>
      <c r="T33" s="269">
        <v>0</v>
      </c>
      <c r="U33" s="269">
        <v>0</v>
      </c>
      <c r="V33" s="269">
        <v>0</v>
      </c>
      <c r="W33" s="269">
        <v>0</v>
      </c>
      <c r="X33" s="269">
        <v>0</v>
      </c>
      <c r="Y33" s="269">
        <v>0</v>
      </c>
      <c r="Z33" s="269">
        <v>0</v>
      </c>
      <c r="AA33" s="411">
        <v>0</v>
      </c>
      <c r="AB33" s="269">
        <v>0</v>
      </c>
      <c r="AC33" s="269">
        <v>0</v>
      </c>
      <c r="AD33" s="269">
        <v>0</v>
      </c>
      <c r="AE33" s="269">
        <v>0</v>
      </c>
      <c r="AF33" s="269">
        <v>0</v>
      </c>
      <c r="AG33" s="269">
        <v>0</v>
      </c>
      <c r="AH33" s="269">
        <v>0</v>
      </c>
      <c r="AI33" s="269">
        <v>0</v>
      </c>
      <c r="AJ33" s="269">
        <v>0</v>
      </c>
      <c r="AK33" s="269">
        <v>0</v>
      </c>
      <c r="AL33" s="269">
        <v>0</v>
      </c>
      <c r="AM33" s="269">
        <v>0</v>
      </c>
      <c r="AN33" s="269">
        <v>720</v>
      </c>
      <c r="AO33" s="269">
        <v>0</v>
      </c>
      <c r="AP33" s="269">
        <v>0</v>
      </c>
      <c r="AQ33" s="264">
        <v>0</v>
      </c>
      <c r="AR33" s="264">
        <v>0</v>
      </c>
      <c r="AS33" s="264">
        <v>0</v>
      </c>
      <c r="AT33" s="264">
        <v>0</v>
      </c>
    </row>
    <row r="34" spans="1:46">
      <c r="D34" s="264" t="s">
        <v>245</v>
      </c>
      <c r="G34" s="269">
        <v>1029</v>
      </c>
      <c r="I34" s="380">
        <f t="shared" si="0"/>
        <v>1029</v>
      </c>
      <c r="J34" s="269">
        <v>0</v>
      </c>
      <c r="K34" s="269">
        <v>0</v>
      </c>
      <c r="L34" s="269">
        <v>1205</v>
      </c>
      <c r="M34" s="269">
        <v>0</v>
      </c>
      <c r="N34" s="269">
        <v>1110532</v>
      </c>
      <c r="O34" s="269">
        <v>0</v>
      </c>
      <c r="P34" s="269">
        <v>0</v>
      </c>
      <c r="Q34" s="269">
        <v>0</v>
      </c>
      <c r="R34" s="269">
        <v>568.63084300000003</v>
      </c>
      <c r="S34" s="269">
        <v>268939767</v>
      </c>
      <c r="T34" s="269">
        <v>236794881</v>
      </c>
      <c r="U34" s="269">
        <v>254124022.90000001</v>
      </c>
      <c r="V34" s="269">
        <v>0</v>
      </c>
      <c r="W34" s="269">
        <v>0</v>
      </c>
      <c r="X34" s="269">
        <v>1112.680504919</v>
      </c>
      <c r="Y34" s="269">
        <v>43970.329377203743</v>
      </c>
      <c r="Z34" s="269">
        <v>0</v>
      </c>
      <c r="AA34" s="411">
        <v>0</v>
      </c>
      <c r="AB34" s="269">
        <v>0</v>
      </c>
      <c r="AC34" s="269">
        <v>0</v>
      </c>
      <c r="AD34" s="269">
        <v>3622.4230251317786</v>
      </c>
      <c r="AE34" s="269">
        <v>184</v>
      </c>
      <c r="AF34" s="269">
        <v>0</v>
      </c>
      <c r="AG34" s="269">
        <v>0</v>
      </c>
      <c r="AH34" s="269">
        <v>0</v>
      </c>
      <c r="AI34" s="269">
        <v>0.53890000000000005</v>
      </c>
      <c r="AJ34" s="269">
        <v>5044251649.5103998</v>
      </c>
      <c r="AK34" s="269">
        <v>0</v>
      </c>
      <c r="AL34" s="269">
        <v>0</v>
      </c>
      <c r="AM34" s="269">
        <v>32.024493504580221</v>
      </c>
      <c r="AN34" s="269">
        <v>162</v>
      </c>
      <c r="AO34" s="269">
        <v>0</v>
      </c>
      <c r="AP34" s="269">
        <v>0</v>
      </c>
      <c r="AQ34" s="264">
        <v>29.344999999999999</v>
      </c>
      <c r="AR34" s="264">
        <v>0</v>
      </c>
      <c r="AS34" s="264">
        <v>0</v>
      </c>
      <c r="AT34" s="264">
        <v>57031.522219999999</v>
      </c>
    </row>
    <row r="35" spans="1:46">
      <c r="D35" s="264" t="s">
        <v>70</v>
      </c>
      <c r="G35" s="269">
        <v>1030</v>
      </c>
      <c r="I35" s="380">
        <f t="shared" si="0"/>
        <v>1030</v>
      </c>
      <c r="J35" s="269">
        <v>0</v>
      </c>
      <c r="K35" s="269">
        <v>987164.11446199997</v>
      </c>
      <c r="L35" s="269">
        <v>4074563</v>
      </c>
      <c r="M35" s="269">
        <v>0</v>
      </c>
      <c r="N35" s="269">
        <v>1015200</v>
      </c>
      <c r="O35" s="269">
        <v>0</v>
      </c>
      <c r="P35" s="269">
        <v>0</v>
      </c>
      <c r="Q35" s="269">
        <v>2510</v>
      </c>
      <c r="R35" s="269">
        <v>2026.072195</v>
      </c>
      <c r="S35" s="269">
        <v>725395882.50999999</v>
      </c>
      <c r="T35" s="269">
        <v>1180222195</v>
      </c>
      <c r="U35" s="269">
        <v>469690284</v>
      </c>
      <c r="V35" s="269">
        <v>1410089</v>
      </c>
      <c r="W35" s="269">
        <v>0</v>
      </c>
      <c r="X35" s="269">
        <v>0</v>
      </c>
      <c r="Y35" s="269">
        <v>2608605.5768485488</v>
      </c>
      <c r="Z35" s="269">
        <v>0</v>
      </c>
      <c r="AA35" s="411">
        <v>0</v>
      </c>
      <c r="AB35" s="269">
        <v>0</v>
      </c>
      <c r="AC35" s="269">
        <v>0</v>
      </c>
      <c r="AD35" s="269">
        <v>421.12357657443141</v>
      </c>
      <c r="AE35" s="269">
        <v>2542</v>
      </c>
      <c r="AF35" s="269">
        <v>5470</v>
      </c>
      <c r="AG35" s="269">
        <v>0</v>
      </c>
      <c r="AH35" s="269">
        <v>2189</v>
      </c>
      <c r="AI35" s="269">
        <v>312.29289999999997</v>
      </c>
      <c r="AJ35" s="269">
        <v>5104730600.3999996</v>
      </c>
      <c r="AK35" s="269">
        <v>0</v>
      </c>
      <c r="AL35" s="269">
        <v>0</v>
      </c>
      <c r="AM35" s="269">
        <v>4677.834296221572</v>
      </c>
      <c r="AN35" s="269">
        <v>2109</v>
      </c>
      <c r="AO35" s="269">
        <v>0</v>
      </c>
      <c r="AP35" s="269">
        <v>3449686</v>
      </c>
      <c r="AQ35" s="264">
        <v>861.57793786009779</v>
      </c>
      <c r="AR35" s="264">
        <v>3646951</v>
      </c>
      <c r="AS35" s="264">
        <v>0</v>
      </c>
      <c r="AT35" s="264">
        <v>947424.43704357103</v>
      </c>
    </row>
    <row r="36" spans="1:46">
      <c r="D36" s="264" t="s">
        <v>94</v>
      </c>
      <c r="G36" s="269">
        <v>1031</v>
      </c>
      <c r="I36" s="380">
        <f t="shared" si="0"/>
        <v>1031</v>
      </c>
      <c r="J36" s="269">
        <v>1442</v>
      </c>
      <c r="K36" s="269">
        <v>11337475.3708275</v>
      </c>
      <c r="L36" s="269">
        <v>7877307</v>
      </c>
      <c r="M36" s="269">
        <v>2029385.9370000004</v>
      </c>
      <c r="N36" s="269">
        <v>8580261.91316</v>
      </c>
      <c r="O36" s="269">
        <v>7878</v>
      </c>
      <c r="P36" s="269">
        <v>776774</v>
      </c>
      <c r="Q36" s="269">
        <v>5517</v>
      </c>
      <c r="R36" s="269">
        <v>18553.594079250001</v>
      </c>
      <c r="S36" s="269">
        <v>715289170</v>
      </c>
      <c r="T36" s="269">
        <v>826840655.11048722</v>
      </c>
      <c r="U36" s="269">
        <v>1093471053.8499999</v>
      </c>
      <c r="V36" s="269">
        <v>2294667</v>
      </c>
      <c r="W36" s="269">
        <v>25903.315076000003</v>
      </c>
      <c r="X36" s="269">
        <v>7701.2979999999998</v>
      </c>
      <c r="Y36" s="269">
        <v>7428150.7622998562</v>
      </c>
      <c r="Z36" s="269">
        <v>1410026</v>
      </c>
      <c r="AA36" s="411">
        <v>-744183.92533592274</v>
      </c>
      <c r="AB36" s="269">
        <v>4789</v>
      </c>
      <c r="AC36" s="269">
        <v>4819</v>
      </c>
      <c r="AD36" s="269">
        <v>14359.100230936056</v>
      </c>
      <c r="AE36" s="269">
        <v>34533</v>
      </c>
      <c r="AF36" s="269">
        <v>13217</v>
      </c>
      <c r="AG36" s="269">
        <v>1403.3141592557199</v>
      </c>
      <c r="AH36" s="269">
        <v>12670</v>
      </c>
      <c r="AI36" s="269">
        <v>2160.2636000000002</v>
      </c>
      <c r="AJ36" s="269">
        <v>10770441758.859032</v>
      </c>
      <c r="AK36" s="269">
        <v>17455139</v>
      </c>
      <c r="AL36" s="269">
        <v>16022162.65809226</v>
      </c>
      <c r="AM36" s="269">
        <v>27592.16357550945</v>
      </c>
      <c r="AN36" s="269">
        <v>2996</v>
      </c>
      <c r="AO36" s="269">
        <v>18131798</v>
      </c>
      <c r="AP36" s="269">
        <v>19174284</v>
      </c>
      <c r="AQ36" s="264">
        <v>35804.181275722382</v>
      </c>
      <c r="AR36" s="264">
        <v>10712088</v>
      </c>
      <c r="AS36" s="264">
        <v>2105384</v>
      </c>
      <c r="AT36" s="264">
        <v>12154259.403103812</v>
      </c>
    </row>
    <row r="37" spans="1:46">
      <c r="D37" s="264" t="s">
        <v>601</v>
      </c>
      <c r="G37" s="269">
        <v>1032</v>
      </c>
      <c r="I37" s="380">
        <f t="shared" si="0"/>
        <v>1032</v>
      </c>
      <c r="J37" s="269">
        <v>232376.24815421976</v>
      </c>
      <c r="K37" s="269">
        <v>3005295268.9184389</v>
      </c>
      <c r="L37" s="269">
        <v>695873052.79999995</v>
      </c>
      <c r="M37" s="269">
        <v>201384521.53600001</v>
      </c>
      <c r="N37" s="269">
        <v>1034420948.1868401</v>
      </c>
      <c r="O37" s="269">
        <v>867411.90365732205</v>
      </c>
      <c r="P37" s="269">
        <v>275254769.80000001</v>
      </c>
      <c r="Q37" s="269">
        <v>655685.6</v>
      </c>
      <c r="R37" s="269">
        <v>1659337.4266617456</v>
      </c>
      <c r="S37" s="269">
        <v>355518687186.37091</v>
      </c>
      <c r="T37" s="269">
        <v>198878455777.28952</v>
      </c>
      <c r="U37" s="269">
        <v>289931275060.01306</v>
      </c>
      <c r="V37" s="269">
        <v>215609093.40000001</v>
      </c>
      <c r="W37" s="269">
        <v>3679585.2849239996</v>
      </c>
      <c r="X37" s="269">
        <v>1336599.9354376059</v>
      </c>
      <c r="Y37" s="269">
        <v>695303551.37687242</v>
      </c>
      <c r="Z37" s="269">
        <v>223336856.612939</v>
      </c>
      <c r="AA37" s="269">
        <v>421311041.3584277</v>
      </c>
      <c r="AB37" s="269">
        <v>1163853.3999999999</v>
      </c>
      <c r="AC37" s="269">
        <v>728314.7</v>
      </c>
      <c r="AD37" s="269">
        <v>1511285.4959229801</v>
      </c>
      <c r="AE37" s="269">
        <v>3253452.6</v>
      </c>
      <c r="AF37" s="269">
        <v>862330.9</v>
      </c>
      <c r="AG37" s="269">
        <v>215754.23023382496</v>
      </c>
      <c r="AH37" s="269">
        <v>1098674.8999999999</v>
      </c>
      <c r="AI37" s="269">
        <v>219007.88699999999</v>
      </c>
      <c r="AJ37" s="269">
        <v>1409198164715.0129</v>
      </c>
      <c r="AK37" s="269">
        <v>2252752478.1192284</v>
      </c>
      <c r="AL37" s="269">
        <v>3141181019.4725695</v>
      </c>
      <c r="AM37" s="269">
        <v>1723005.5889625901</v>
      </c>
      <c r="AN37" s="269">
        <v>654514.6</v>
      </c>
      <c r="AO37" s="269">
        <v>2916154843.0999999</v>
      </c>
      <c r="AP37" s="269">
        <v>2334157407.9000001</v>
      </c>
      <c r="AQ37" s="264">
        <v>1455593.2001382192</v>
      </c>
      <c r="AR37" s="264">
        <v>723166992.52178633</v>
      </c>
      <c r="AS37" s="264">
        <v>234816411.03946772</v>
      </c>
      <c r="AT37" s="264">
        <v>376672805.18630272</v>
      </c>
    </row>
    <row r="38" spans="1:46" ht="12.75" customHeight="1">
      <c r="A38" s="263" t="s">
        <v>91</v>
      </c>
      <c r="B38" s="264" t="s">
        <v>364</v>
      </c>
      <c r="D38" s="264" t="s">
        <v>410</v>
      </c>
      <c r="G38" s="269">
        <v>1033</v>
      </c>
      <c r="I38" s="380">
        <f t="shared" si="0"/>
        <v>1033</v>
      </c>
      <c r="J38" s="269">
        <v>16959.855912777148</v>
      </c>
      <c r="K38" s="269">
        <v>344214324.103782</v>
      </c>
      <c r="L38" s="269">
        <v>57250154</v>
      </c>
      <c r="M38" s="269">
        <v>12795456</v>
      </c>
      <c r="N38" s="269">
        <v>55307685</v>
      </c>
      <c r="O38" s="269">
        <v>96911</v>
      </c>
      <c r="P38" s="269">
        <v>39838377</v>
      </c>
      <c r="Q38" s="269">
        <v>95998</v>
      </c>
      <c r="R38" s="269">
        <v>32668.620787168024</v>
      </c>
      <c r="S38" s="269">
        <v>72415520706.828629</v>
      </c>
      <c r="T38" s="269">
        <v>26137494577.5</v>
      </c>
      <c r="U38" s="269">
        <v>62329120024.139999</v>
      </c>
      <c r="V38" s="269">
        <v>31271407</v>
      </c>
      <c r="W38" s="269">
        <v>50206.39999999998</v>
      </c>
      <c r="X38" s="269">
        <v>55720.112999999998</v>
      </c>
      <c r="Y38" s="269">
        <v>33559604.000976801</v>
      </c>
      <c r="Z38" s="269">
        <v>6308589.7549999999</v>
      </c>
      <c r="AA38" s="269">
        <v>52566590</v>
      </c>
      <c r="AB38" s="269">
        <v>48187</v>
      </c>
      <c r="AC38" s="269">
        <v>18092</v>
      </c>
      <c r="AD38" s="269">
        <v>47182.81488220625</v>
      </c>
      <c r="AE38" s="269">
        <v>161200</v>
      </c>
      <c r="AF38" s="269">
        <v>4362</v>
      </c>
      <c r="AG38" s="269">
        <v>952.28268862000004</v>
      </c>
      <c r="AH38" s="269">
        <v>63308</v>
      </c>
      <c r="AI38" s="269">
        <v>10845</v>
      </c>
      <c r="AJ38" s="269">
        <v>19095935935.409348</v>
      </c>
      <c r="AK38" s="269">
        <v>48427796</v>
      </c>
      <c r="AL38" s="269">
        <v>129884265</v>
      </c>
      <c r="AM38" s="269">
        <v>33462.021225583405</v>
      </c>
      <c r="AN38" s="269">
        <v>38010</v>
      </c>
      <c r="AO38" s="269">
        <v>45718197.356560394</v>
      </c>
      <c r="AP38" s="269">
        <v>81339959</v>
      </c>
      <c r="AQ38" s="264">
        <v>75251.951000000001</v>
      </c>
      <c r="AR38" s="264">
        <v>8310619</v>
      </c>
      <c r="AS38" s="264">
        <v>1857672.4810000001</v>
      </c>
      <c r="AT38" s="264">
        <v>446615.96443919779</v>
      </c>
    </row>
    <row r="39" spans="1:46">
      <c r="D39" s="264" t="s">
        <v>172</v>
      </c>
      <c r="G39" s="269">
        <v>1034</v>
      </c>
      <c r="I39" s="380">
        <f t="shared" si="0"/>
        <v>1034</v>
      </c>
      <c r="J39" s="269">
        <v>69.34897673705099</v>
      </c>
      <c r="K39" s="269">
        <v>0</v>
      </c>
      <c r="L39" s="269">
        <v>25997</v>
      </c>
      <c r="M39" s="269">
        <v>8990.8469999999998</v>
      </c>
      <c r="N39" s="269">
        <v>147003</v>
      </c>
      <c r="O39" s="269">
        <v>9210.1540000000005</v>
      </c>
      <c r="P39" s="269">
        <v>0</v>
      </c>
      <c r="Q39" s="269">
        <v>0</v>
      </c>
      <c r="R39" s="269">
        <v>30.3223826089163</v>
      </c>
      <c r="S39" s="269">
        <v>165069597</v>
      </c>
      <c r="T39" s="269">
        <v>848040247.3599999</v>
      </c>
      <c r="U39" s="269">
        <v>1508467244.3499999</v>
      </c>
      <c r="V39" s="269">
        <v>12353</v>
      </c>
      <c r="W39" s="269">
        <v>9027.2515688995882</v>
      </c>
      <c r="X39" s="269">
        <v>0</v>
      </c>
      <c r="Y39" s="269">
        <v>1447724.7971458333</v>
      </c>
      <c r="Z39" s="269">
        <v>5303092.7549999999</v>
      </c>
      <c r="AA39" s="269">
        <v>2961</v>
      </c>
      <c r="AB39" s="269">
        <v>0</v>
      </c>
      <c r="AC39" s="269">
        <v>0</v>
      </c>
      <c r="AD39" s="269">
        <v>279.34783248462531</v>
      </c>
      <c r="AE39" s="269">
        <v>20983</v>
      </c>
      <c r="AF39" s="269">
        <v>852</v>
      </c>
      <c r="AG39" s="269">
        <v>2.8000000000000002E-7</v>
      </c>
      <c r="AH39" s="269">
        <v>0</v>
      </c>
      <c r="AI39" s="269">
        <v>0</v>
      </c>
      <c r="AJ39" s="269">
        <v>0</v>
      </c>
      <c r="AK39" s="269">
        <v>640667</v>
      </c>
      <c r="AL39" s="269">
        <v>0</v>
      </c>
      <c r="AM39" s="269">
        <v>0</v>
      </c>
      <c r="AN39" s="269">
        <v>2346</v>
      </c>
      <c r="AO39" s="269">
        <v>0</v>
      </c>
      <c r="AP39" s="269">
        <v>589936</v>
      </c>
      <c r="AQ39" s="264">
        <v>0</v>
      </c>
      <c r="AR39" s="264">
        <v>0</v>
      </c>
      <c r="AS39" s="264">
        <v>0</v>
      </c>
      <c r="AT39" s="264">
        <v>0</v>
      </c>
    </row>
    <row r="40" spans="1:46">
      <c r="D40" s="264" t="s">
        <v>409</v>
      </c>
      <c r="G40" s="269">
        <v>1035</v>
      </c>
      <c r="I40" s="380">
        <f t="shared" si="0"/>
        <v>1035</v>
      </c>
      <c r="J40" s="269">
        <v>37.328867264301131</v>
      </c>
      <c r="K40" s="269">
        <v>26961451</v>
      </c>
      <c r="L40" s="269">
        <v>35031995.314999998</v>
      </c>
      <c r="M40" s="269">
        <v>5473205.5255500013</v>
      </c>
      <c r="N40" s="269">
        <v>43152687</v>
      </c>
      <c r="O40" s="269">
        <v>9130</v>
      </c>
      <c r="P40" s="269">
        <v>3957912</v>
      </c>
      <c r="Q40" s="269">
        <v>8675</v>
      </c>
      <c r="R40" s="269">
        <v>7409.4002220070806</v>
      </c>
      <c r="S40" s="269">
        <v>19419407429.84</v>
      </c>
      <c r="T40" s="269">
        <v>1710504422.3800001</v>
      </c>
      <c r="U40" s="269">
        <v>14181868642</v>
      </c>
      <c r="V40" s="269">
        <v>4711689</v>
      </c>
      <c r="W40" s="269">
        <v>10814.3</v>
      </c>
      <c r="X40" s="269">
        <v>31956.059000000001</v>
      </c>
      <c r="Y40" s="269">
        <v>7150809</v>
      </c>
      <c r="Z40" s="269">
        <v>1758763</v>
      </c>
      <c r="AA40" s="269">
        <v>24657455</v>
      </c>
      <c r="AB40" s="269">
        <v>7752</v>
      </c>
      <c r="AC40" s="269">
        <v>2445</v>
      </c>
      <c r="AD40" s="269">
        <v>43133.185667210004</v>
      </c>
      <c r="AE40" s="269">
        <v>2388</v>
      </c>
      <c r="AF40" s="269">
        <v>12406</v>
      </c>
      <c r="AG40" s="269">
        <v>297.50000012999999</v>
      </c>
      <c r="AH40" s="269">
        <v>16846</v>
      </c>
      <c r="AI40" s="269">
        <v>2389.5358000000001</v>
      </c>
      <c r="AJ40" s="269">
        <v>20093146534.676903</v>
      </c>
      <c r="AK40" s="269">
        <v>36694934</v>
      </c>
      <c r="AL40" s="269">
        <v>9653001.0329999998</v>
      </c>
      <c r="AM40" s="269">
        <v>30578.961428595558</v>
      </c>
      <c r="AN40" s="269">
        <v>3383</v>
      </c>
      <c r="AO40" s="269">
        <v>0</v>
      </c>
      <c r="AP40" s="269">
        <v>8839789</v>
      </c>
      <c r="AQ40" s="264">
        <v>13885.236000000001</v>
      </c>
      <c r="AR40" s="264">
        <v>1056859.4883399999</v>
      </c>
      <c r="AS40" s="264">
        <v>318311.59000000003</v>
      </c>
      <c r="AT40" s="264">
        <v>35528.505290000001</v>
      </c>
    </row>
    <row r="41" spans="1:46" ht="12.75" customHeight="1">
      <c r="C41" s="264" t="s">
        <v>411</v>
      </c>
      <c r="D41" s="264" t="s">
        <v>34</v>
      </c>
      <c r="G41" s="269">
        <v>1036</v>
      </c>
      <c r="I41" s="380">
        <f t="shared" si="0"/>
        <v>1036</v>
      </c>
      <c r="J41" s="269">
        <v>4511.6204039518088</v>
      </c>
      <c r="K41" s="269">
        <v>84054756</v>
      </c>
      <c r="L41" s="269">
        <v>5223267.3690965045</v>
      </c>
      <c r="M41" s="269">
        <v>986309.10600000003</v>
      </c>
      <c r="N41" s="269">
        <v>4384727</v>
      </c>
      <c r="O41" s="269">
        <v>6070</v>
      </c>
      <c r="P41" s="269">
        <v>5887406</v>
      </c>
      <c r="Q41" s="269">
        <v>10881</v>
      </c>
      <c r="R41" s="269">
        <v>4870.6245485594463</v>
      </c>
      <c r="S41" s="269">
        <v>14084494930.774784</v>
      </c>
      <c r="T41" s="269">
        <v>23811883111.259998</v>
      </c>
      <c r="U41" s="269">
        <v>4916975573.0600004</v>
      </c>
      <c r="V41" s="269">
        <v>4300409</v>
      </c>
      <c r="W41" s="269">
        <v>372647.81291429949</v>
      </c>
      <c r="X41" s="269">
        <v>1231.46534724</v>
      </c>
      <c r="Y41" s="269">
        <v>6312569.5888499999</v>
      </c>
      <c r="Z41" s="269">
        <v>5576598.3916600002</v>
      </c>
      <c r="AA41" s="269">
        <v>7515147.1780199986</v>
      </c>
      <c r="AB41" s="269">
        <v>6222</v>
      </c>
      <c r="AC41" s="269">
        <v>1419</v>
      </c>
      <c r="AD41" s="269">
        <v>7736.8196249473858</v>
      </c>
      <c r="AE41" s="269">
        <v>33231</v>
      </c>
      <c r="AF41" s="269">
        <v>4425</v>
      </c>
      <c r="AG41" s="269">
        <v>1024.2700781104747</v>
      </c>
      <c r="AH41" s="269">
        <v>0</v>
      </c>
      <c r="AI41" s="269">
        <v>1844</v>
      </c>
      <c r="AJ41" s="269">
        <v>22746052860</v>
      </c>
      <c r="AK41" s="269">
        <v>0</v>
      </c>
      <c r="AL41" s="269">
        <v>62733050</v>
      </c>
      <c r="AM41" s="269">
        <v>0</v>
      </c>
      <c r="AN41" s="269">
        <v>40355</v>
      </c>
      <c r="AO41" s="269">
        <v>107856677.454</v>
      </c>
      <c r="AP41" s="269">
        <v>11605345</v>
      </c>
      <c r="AQ41" s="264">
        <v>4612.0040121876673</v>
      </c>
      <c r="AR41" s="264">
        <v>6386093.2592002191</v>
      </c>
      <c r="AS41" s="264">
        <v>3331396.4938600003</v>
      </c>
      <c r="AT41" s="264">
        <v>50965.055175492133</v>
      </c>
    </row>
    <row r="42" spans="1:46">
      <c r="D42" s="264" t="s">
        <v>35</v>
      </c>
      <c r="G42" s="269">
        <v>1037</v>
      </c>
      <c r="I42" s="380">
        <f t="shared" si="0"/>
        <v>1037</v>
      </c>
      <c r="J42" s="269">
        <v>492.36805587166469</v>
      </c>
      <c r="K42" s="269">
        <v>3536863</v>
      </c>
      <c r="L42" s="269">
        <v>5866959.7351079164</v>
      </c>
      <c r="M42" s="269">
        <v>1383277.9210022059</v>
      </c>
      <c r="N42" s="269">
        <v>18906434</v>
      </c>
      <c r="O42" s="269">
        <v>0</v>
      </c>
      <c r="P42" s="269">
        <v>8811993</v>
      </c>
      <c r="Q42" s="269">
        <v>22291</v>
      </c>
      <c r="R42" s="269">
        <v>26556.722619560642</v>
      </c>
      <c r="S42" s="269">
        <v>27779208878.745178</v>
      </c>
      <c r="T42" s="269">
        <v>0</v>
      </c>
      <c r="U42" s="269">
        <v>21320307466.25</v>
      </c>
      <c r="V42" s="269">
        <v>21726037</v>
      </c>
      <c r="W42" s="269">
        <v>6016.8700820918675</v>
      </c>
      <c r="X42" s="269">
        <v>5834.1524657800001</v>
      </c>
      <c r="Y42" s="269">
        <v>20405392.794716779</v>
      </c>
      <c r="Z42" s="269">
        <v>12426434.924420003</v>
      </c>
      <c r="AA42" s="269">
        <v>516.12531999999999</v>
      </c>
      <c r="AB42" s="269">
        <v>7506</v>
      </c>
      <c r="AC42" s="269">
        <v>1326</v>
      </c>
      <c r="AD42" s="269">
        <v>15149.458896687169</v>
      </c>
      <c r="AE42" s="269">
        <v>25246</v>
      </c>
      <c r="AF42" s="269">
        <v>1336</v>
      </c>
      <c r="AG42" s="269">
        <v>19</v>
      </c>
      <c r="AH42" s="269">
        <v>6290</v>
      </c>
      <c r="AI42" s="269">
        <v>2946</v>
      </c>
      <c r="AJ42" s="269">
        <v>0</v>
      </c>
      <c r="AK42" s="269">
        <v>41385237.018686399</v>
      </c>
      <c r="AL42" s="269">
        <v>713679</v>
      </c>
      <c r="AM42" s="269">
        <v>65928.818632587368</v>
      </c>
      <c r="AN42" s="269">
        <v>1328</v>
      </c>
      <c r="AO42" s="269">
        <v>34532222.266993001</v>
      </c>
      <c r="AP42" s="269">
        <v>88569016</v>
      </c>
      <c r="AQ42" s="264">
        <v>24841.754987812332</v>
      </c>
      <c r="AR42" s="264">
        <v>7298647.3733862881</v>
      </c>
      <c r="AS42" s="264">
        <v>995401.97042999929</v>
      </c>
      <c r="AT42" s="264">
        <v>2039697.6210700001</v>
      </c>
    </row>
    <row r="43" spans="1:46">
      <c r="D43" s="264" t="s">
        <v>36</v>
      </c>
      <c r="G43" s="269">
        <v>1038</v>
      </c>
      <c r="I43" s="380">
        <f t="shared" si="0"/>
        <v>1038</v>
      </c>
      <c r="J43" s="269">
        <v>255.30470356147032</v>
      </c>
      <c r="K43" s="269">
        <v>36694</v>
      </c>
      <c r="L43" s="269">
        <v>0</v>
      </c>
      <c r="M43" s="269">
        <v>549596.50299779419</v>
      </c>
      <c r="N43" s="269">
        <v>2728492</v>
      </c>
      <c r="O43" s="269">
        <v>17934.836000000032</v>
      </c>
      <c r="P43" s="269">
        <v>20451</v>
      </c>
      <c r="Q43" s="269">
        <v>158</v>
      </c>
      <c r="R43" s="269">
        <v>17.342541880824381</v>
      </c>
      <c r="S43" s="269">
        <v>804648897</v>
      </c>
      <c r="T43" s="269">
        <v>0</v>
      </c>
      <c r="U43" s="269">
        <v>167387751.94999999</v>
      </c>
      <c r="V43" s="269">
        <v>68444</v>
      </c>
      <c r="W43" s="269">
        <v>6016.8700820918675</v>
      </c>
      <c r="X43" s="269">
        <v>928.702</v>
      </c>
      <c r="Y43" s="269">
        <v>56497.123001826221</v>
      </c>
      <c r="Z43" s="269">
        <v>195250.984</v>
      </c>
      <c r="AA43" s="269">
        <v>0</v>
      </c>
      <c r="AB43" s="269">
        <v>35</v>
      </c>
      <c r="AC43" s="269">
        <v>90</v>
      </c>
      <c r="AD43" s="269">
        <v>316.03908450490803</v>
      </c>
      <c r="AE43" s="269">
        <v>292</v>
      </c>
      <c r="AF43" s="269">
        <v>2147</v>
      </c>
      <c r="AG43" s="269">
        <v>0</v>
      </c>
      <c r="AH43" s="269">
        <v>164</v>
      </c>
      <c r="AI43" s="269">
        <v>434</v>
      </c>
      <c r="AJ43" s="269">
        <v>0</v>
      </c>
      <c r="AK43" s="269">
        <v>2183150</v>
      </c>
      <c r="AL43" s="269">
        <v>8451</v>
      </c>
      <c r="AM43" s="269">
        <v>3799.1550000000002</v>
      </c>
      <c r="AN43" s="269">
        <v>247</v>
      </c>
      <c r="AO43" s="269">
        <v>0</v>
      </c>
      <c r="AP43" s="269">
        <v>52497</v>
      </c>
      <c r="AQ43" s="264">
        <v>125.59099999999999</v>
      </c>
      <c r="AR43" s="264">
        <v>163566.92451483599</v>
      </c>
      <c r="AS43" s="264">
        <v>3189</v>
      </c>
      <c r="AT43" s="264">
        <v>31818.697980000001</v>
      </c>
    </row>
    <row r="44" spans="1:46">
      <c r="D44" s="264" t="s">
        <v>37</v>
      </c>
      <c r="G44" s="269">
        <v>1039</v>
      </c>
      <c r="I44" s="380">
        <f t="shared" si="0"/>
        <v>1039</v>
      </c>
      <c r="J44" s="269">
        <v>0</v>
      </c>
      <c r="K44" s="269">
        <v>0</v>
      </c>
      <c r="L44" s="269">
        <v>0</v>
      </c>
      <c r="M44" s="269">
        <v>0</v>
      </c>
      <c r="N44" s="269">
        <v>10150</v>
      </c>
      <c r="O44" s="269">
        <v>0</v>
      </c>
      <c r="P44" s="269">
        <v>0</v>
      </c>
      <c r="Q44" s="269">
        <v>1603</v>
      </c>
      <c r="R44" s="269">
        <v>98.759590682422996</v>
      </c>
      <c r="S44" s="269">
        <v>163996369</v>
      </c>
      <c r="T44" s="269">
        <v>0</v>
      </c>
      <c r="U44" s="269">
        <v>1467469509.72</v>
      </c>
      <c r="V44" s="269">
        <v>0</v>
      </c>
      <c r="W44" s="269">
        <v>9027.2515688995882</v>
      </c>
      <c r="X44" s="269">
        <v>0</v>
      </c>
      <c r="Y44" s="269">
        <v>1394835.7469688421</v>
      </c>
      <c r="Z44" s="269">
        <v>0</v>
      </c>
      <c r="AA44" s="269">
        <v>0</v>
      </c>
      <c r="AB44" s="269">
        <v>119</v>
      </c>
      <c r="AC44" s="269">
        <v>0</v>
      </c>
      <c r="AD44" s="269">
        <v>378.80271570825539</v>
      </c>
      <c r="AE44" s="269">
        <v>5091</v>
      </c>
      <c r="AF44" s="269">
        <v>0</v>
      </c>
      <c r="AG44" s="269">
        <v>2.4999999999999999E-7</v>
      </c>
      <c r="AH44" s="269">
        <v>250</v>
      </c>
      <c r="AI44" s="269">
        <v>0</v>
      </c>
      <c r="AJ44" s="269">
        <v>0</v>
      </c>
      <c r="AK44" s="269">
        <v>1463410</v>
      </c>
      <c r="AL44" s="269">
        <v>368007</v>
      </c>
      <c r="AM44" s="269">
        <v>0</v>
      </c>
      <c r="AN44" s="269">
        <v>0</v>
      </c>
      <c r="AO44" s="269">
        <v>0</v>
      </c>
      <c r="AP44" s="269">
        <v>4107181</v>
      </c>
      <c r="AQ44" s="264">
        <v>0</v>
      </c>
      <c r="AR44" s="264">
        <v>239056.83517393333</v>
      </c>
      <c r="AS44" s="264">
        <v>0</v>
      </c>
      <c r="AT44" s="264">
        <v>0</v>
      </c>
    </row>
    <row r="45" spans="1:46">
      <c r="D45" s="264" t="s">
        <v>247</v>
      </c>
      <c r="G45" s="269">
        <v>1040</v>
      </c>
      <c r="I45" s="380">
        <f t="shared" si="0"/>
        <v>1040</v>
      </c>
      <c r="J45" s="269">
        <v>72.719168351093415</v>
      </c>
      <c r="K45" s="269">
        <v>758579.41969150002</v>
      </c>
      <c r="L45" s="269">
        <v>986049.33956149674</v>
      </c>
      <c r="M45" s="269">
        <v>1286404</v>
      </c>
      <c r="N45" s="269">
        <v>5287310</v>
      </c>
      <c r="O45" s="269">
        <v>8743.7615824121403</v>
      </c>
      <c r="P45" s="269">
        <v>186443</v>
      </c>
      <c r="Q45" s="269">
        <v>8908</v>
      </c>
      <c r="R45" s="269">
        <v>5192.7095976243854</v>
      </c>
      <c r="S45" s="269">
        <v>1071587321.7351564</v>
      </c>
      <c r="T45" s="269">
        <v>3438301235.5499997</v>
      </c>
      <c r="U45" s="269">
        <v>512074394.88</v>
      </c>
      <c r="V45" s="269">
        <v>11286</v>
      </c>
      <c r="W45" s="269">
        <v>23209.299999999996</v>
      </c>
      <c r="X45" s="269">
        <v>2864.1318625122317</v>
      </c>
      <c r="Y45" s="269">
        <v>13039338.068838764</v>
      </c>
      <c r="Z45" s="269">
        <v>1039043</v>
      </c>
      <c r="AA45" s="269">
        <v>45689.408040000009</v>
      </c>
      <c r="AB45" s="269">
        <v>2325</v>
      </c>
      <c r="AC45" s="269">
        <v>4012</v>
      </c>
      <c r="AD45" s="269">
        <v>15455.39516702</v>
      </c>
      <c r="AE45" s="269">
        <v>28157</v>
      </c>
      <c r="AF45" s="269">
        <v>1043</v>
      </c>
      <c r="AG45" s="269">
        <v>0</v>
      </c>
      <c r="AH45" s="269">
        <v>2230</v>
      </c>
      <c r="AI45" s="269">
        <v>99</v>
      </c>
      <c r="AJ45" s="269">
        <v>15069630790</v>
      </c>
      <c r="AK45" s="269">
        <v>26776027.527763799</v>
      </c>
      <c r="AL45" s="269">
        <v>10264780</v>
      </c>
      <c r="AM45" s="269">
        <v>5317.9195935164498</v>
      </c>
      <c r="AN45" s="269">
        <v>1246</v>
      </c>
      <c r="AO45" s="269">
        <v>101052115.58264062</v>
      </c>
      <c r="AP45" s="269">
        <v>988500</v>
      </c>
      <c r="AQ45" s="264">
        <v>5233.1850000000004</v>
      </c>
      <c r="AR45" s="264">
        <v>5556952</v>
      </c>
      <c r="AS45" s="264">
        <v>141581</v>
      </c>
      <c r="AT45" s="264">
        <v>8046345.5749980006</v>
      </c>
    </row>
    <row r="46" spans="1:46">
      <c r="D46" s="264" t="s">
        <v>388</v>
      </c>
      <c r="G46" s="269">
        <v>1041</v>
      </c>
      <c r="I46" s="380">
        <f t="shared" si="0"/>
        <v>1041</v>
      </c>
      <c r="J46" s="269">
        <v>0</v>
      </c>
      <c r="K46" s="269">
        <v>0</v>
      </c>
      <c r="L46" s="269">
        <v>50702.210057626085</v>
      </c>
      <c r="M46" s="269">
        <v>0</v>
      </c>
      <c r="N46" s="269">
        <v>0</v>
      </c>
      <c r="O46" s="269">
        <v>5203.4140437034102</v>
      </c>
      <c r="P46" s="269">
        <v>92135</v>
      </c>
      <c r="Q46" s="269">
        <v>4164</v>
      </c>
      <c r="R46" s="269">
        <v>18.674056376902023</v>
      </c>
      <c r="S46" s="269">
        <v>2289766</v>
      </c>
      <c r="T46" s="269">
        <v>0</v>
      </c>
      <c r="U46" s="269">
        <v>48146.35</v>
      </c>
      <c r="V46" s="269">
        <v>0</v>
      </c>
      <c r="W46" s="269">
        <v>0</v>
      </c>
      <c r="X46" s="269">
        <v>0</v>
      </c>
      <c r="Y46" s="269">
        <v>35008.852482110626</v>
      </c>
      <c r="Z46" s="269">
        <v>0</v>
      </c>
      <c r="AA46" s="269">
        <v>0</v>
      </c>
      <c r="AB46" s="269">
        <v>0</v>
      </c>
      <c r="AC46" s="269">
        <v>0</v>
      </c>
      <c r="AD46" s="269">
        <v>1124.0872612437201</v>
      </c>
      <c r="AE46" s="269">
        <v>0</v>
      </c>
      <c r="AF46" s="269">
        <v>0</v>
      </c>
      <c r="AG46" s="269">
        <v>0</v>
      </c>
      <c r="AH46" s="269">
        <v>145</v>
      </c>
      <c r="AI46" s="269">
        <v>23</v>
      </c>
      <c r="AJ46" s="269">
        <v>14613758000</v>
      </c>
      <c r="AK46" s="269">
        <v>1916025.0147123323</v>
      </c>
      <c r="AL46" s="269">
        <v>180844</v>
      </c>
      <c r="AM46" s="269">
        <v>0</v>
      </c>
      <c r="AN46" s="269">
        <v>176</v>
      </c>
      <c r="AO46" s="269">
        <v>15236838.634147801</v>
      </c>
      <c r="AP46" s="269">
        <v>0</v>
      </c>
      <c r="AQ46" s="264">
        <v>0</v>
      </c>
      <c r="AR46" s="264">
        <v>0</v>
      </c>
      <c r="AS46" s="264">
        <v>0</v>
      </c>
      <c r="AT46" s="264">
        <v>0</v>
      </c>
    </row>
    <row r="47" spans="1:46">
      <c r="D47" s="264" t="s">
        <v>417</v>
      </c>
      <c r="G47" s="269">
        <v>1042</v>
      </c>
      <c r="I47" s="380">
        <f t="shared" si="0"/>
        <v>1042</v>
      </c>
      <c r="J47" s="269">
        <v>542.70510175857589</v>
      </c>
      <c r="K47" s="269">
        <v>0</v>
      </c>
      <c r="L47" s="269">
        <v>538534.02407000004</v>
      </c>
      <c r="M47" s="269">
        <v>7879650.8924900033</v>
      </c>
      <c r="N47" s="269">
        <v>1416978.6252200003</v>
      </c>
      <c r="O47" s="269">
        <v>9963.0601199429002</v>
      </c>
      <c r="P47" s="269">
        <v>3863943</v>
      </c>
      <c r="Q47" s="269">
        <v>3885.7601662555116</v>
      </c>
      <c r="R47" s="269">
        <v>113065.45965349121</v>
      </c>
      <c r="S47" s="269">
        <v>188290463</v>
      </c>
      <c r="T47" s="269">
        <v>92481941</v>
      </c>
      <c r="U47" s="269">
        <v>8174037841.8200026</v>
      </c>
      <c r="V47" s="269">
        <v>0</v>
      </c>
      <c r="W47" s="269">
        <v>243.3109432618779</v>
      </c>
      <c r="X47" s="269">
        <v>56482.335999999996</v>
      </c>
      <c r="Y47" s="269">
        <v>544198</v>
      </c>
      <c r="Z47" s="269">
        <v>365210</v>
      </c>
      <c r="AA47" s="269">
        <v>1032265.72</v>
      </c>
      <c r="AB47" s="269">
        <v>9190</v>
      </c>
      <c r="AC47" s="269">
        <v>518</v>
      </c>
      <c r="AD47" s="269">
        <v>19861.748556330363</v>
      </c>
      <c r="AE47" s="269">
        <v>7600</v>
      </c>
      <c r="AF47" s="269">
        <v>1909</v>
      </c>
      <c r="AG47" s="269">
        <v>0</v>
      </c>
      <c r="AH47" s="269">
        <v>2302</v>
      </c>
      <c r="AI47" s="269">
        <v>83.2</v>
      </c>
      <c r="AJ47" s="269">
        <v>18238256609</v>
      </c>
      <c r="AK47" s="269">
        <v>990729.84256500029</v>
      </c>
      <c r="AL47" s="269">
        <v>2649639.003</v>
      </c>
      <c r="AM47" s="269">
        <v>7525.4132318473121</v>
      </c>
      <c r="AN47" s="269">
        <v>829</v>
      </c>
      <c r="AO47" s="269">
        <v>19537433.5860717</v>
      </c>
      <c r="AP47" s="269">
        <v>275125</v>
      </c>
      <c r="AQ47" s="264">
        <v>3919</v>
      </c>
      <c r="AR47" s="264">
        <v>446953.57830212091</v>
      </c>
      <c r="AS47" s="264">
        <v>742510.6357866351</v>
      </c>
      <c r="AT47" s="264">
        <v>257348.37561999992</v>
      </c>
    </row>
    <row r="48" spans="1:46">
      <c r="C48" s="264" t="s">
        <v>412</v>
      </c>
      <c r="D48" s="264" t="s">
        <v>248</v>
      </c>
      <c r="G48" s="269">
        <v>1043</v>
      </c>
      <c r="I48" s="380">
        <f t="shared" si="0"/>
        <v>1043</v>
      </c>
      <c r="J48" s="269">
        <v>1097</v>
      </c>
      <c r="K48" s="269">
        <v>0</v>
      </c>
      <c r="L48" s="269">
        <v>0</v>
      </c>
      <c r="M48" s="269">
        <v>4246748</v>
      </c>
      <c r="N48" s="269">
        <v>15254741</v>
      </c>
      <c r="O48" s="269">
        <v>21936.2574788653</v>
      </c>
      <c r="P48" s="269">
        <v>11377936</v>
      </c>
      <c r="Q48" s="269">
        <v>7218.0025658336008</v>
      </c>
      <c r="R48" s="269">
        <v>12967.546277160271</v>
      </c>
      <c r="S48" s="269">
        <v>4243989430.9807682</v>
      </c>
      <c r="T48" s="269">
        <v>1638485506</v>
      </c>
      <c r="U48" s="269">
        <v>3023346215</v>
      </c>
      <c r="V48" s="269">
        <v>1898812</v>
      </c>
      <c r="W48" s="269">
        <v>7912</v>
      </c>
      <c r="X48" s="269">
        <v>17204</v>
      </c>
      <c r="Y48" s="269">
        <v>224666.77101747299</v>
      </c>
      <c r="Z48" s="269">
        <v>1404565</v>
      </c>
      <c r="AA48" s="269">
        <v>4904700.0850999821</v>
      </c>
      <c r="AB48" s="269">
        <v>10394</v>
      </c>
      <c r="AC48" s="269">
        <v>1163</v>
      </c>
      <c r="AD48" s="269">
        <v>18645.983351540603</v>
      </c>
      <c r="AE48" s="269">
        <v>16479</v>
      </c>
      <c r="AF48" s="269">
        <v>996</v>
      </c>
      <c r="AG48" s="269">
        <v>247</v>
      </c>
      <c r="AH48" s="269">
        <v>11131</v>
      </c>
      <c r="AI48" s="269">
        <v>337</v>
      </c>
      <c r="AJ48" s="269">
        <v>7294526723.0277786</v>
      </c>
      <c r="AK48" s="269">
        <v>9439431.8479819763</v>
      </c>
      <c r="AL48" s="269">
        <v>9033433.6349999998</v>
      </c>
      <c r="AM48" s="269">
        <v>14253.827139662</v>
      </c>
      <c r="AN48" s="269">
        <v>3230</v>
      </c>
      <c r="AO48" s="269">
        <v>24203118.916361563</v>
      </c>
      <c r="AP48" s="269">
        <v>9613630</v>
      </c>
      <c r="AQ48" s="264">
        <v>1204</v>
      </c>
      <c r="AR48" s="264">
        <v>5223249.3893311685</v>
      </c>
      <c r="AS48" s="264">
        <v>361454.60864115908</v>
      </c>
      <c r="AT48" s="264">
        <v>154514.60594000007</v>
      </c>
    </row>
    <row r="49" spans="2:46">
      <c r="D49" s="264" t="s">
        <v>38</v>
      </c>
      <c r="G49" s="269">
        <v>1044</v>
      </c>
      <c r="I49" s="380">
        <f t="shared" si="0"/>
        <v>1044</v>
      </c>
      <c r="J49" s="269">
        <v>2691</v>
      </c>
      <c r="K49" s="269">
        <v>20020276</v>
      </c>
      <c r="L49" s="269">
        <v>0</v>
      </c>
      <c r="M49" s="269">
        <v>3094046.4806700153</v>
      </c>
      <c r="N49" s="269">
        <v>4736156</v>
      </c>
      <c r="O49" s="269">
        <v>30947.385260699</v>
      </c>
      <c r="P49" s="269">
        <v>2190668</v>
      </c>
      <c r="Q49" s="269">
        <v>7521.3593074436003</v>
      </c>
      <c r="R49" s="269">
        <v>53784.377344277396</v>
      </c>
      <c r="S49" s="269">
        <v>1665273399.6998303</v>
      </c>
      <c r="T49" s="269">
        <v>169820825</v>
      </c>
      <c r="U49" s="269">
        <v>1337732033</v>
      </c>
      <c r="V49" s="269">
        <v>539611</v>
      </c>
      <c r="W49" s="269">
        <v>112393</v>
      </c>
      <c r="X49" s="269">
        <v>11566</v>
      </c>
      <c r="Y49" s="269">
        <v>854671.32949050295</v>
      </c>
      <c r="Z49" s="269">
        <v>853377</v>
      </c>
      <c r="AA49" s="269">
        <v>2994829.8464455833</v>
      </c>
      <c r="AB49" s="269">
        <v>16458</v>
      </c>
      <c r="AC49" s="269">
        <v>5447</v>
      </c>
      <c r="AD49" s="269">
        <v>52649.901139614682</v>
      </c>
      <c r="AE49" s="269">
        <v>55381</v>
      </c>
      <c r="AF49" s="269">
        <v>1645</v>
      </c>
      <c r="AG49" s="269">
        <v>493.26915945778501</v>
      </c>
      <c r="AH49" s="269">
        <v>51888</v>
      </c>
      <c r="AI49" s="269">
        <v>1384</v>
      </c>
      <c r="AJ49" s="269">
        <v>34518437665</v>
      </c>
      <c r="AK49" s="269">
        <v>88637394.773309529</v>
      </c>
      <c r="AL49" s="269">
        <v>16911050.756999999</v>
      </c>
      <c r="AM49" s="269">
        <v>9099.6523191140568</v>
      </c>
      <c r="AN49" s="269">
        <v>17336</v>
      </c>
      <c r="AO49" s="269">
        <v>18559545.455897056</v>
      </c>
      <c r="AP49" s="269">
        <v>15725427</v>
      </c>
      <c r="AQ49" s="264">
        <v>8460</v>
      </c>
      <c r="AR49" s="264">
        <v>2067239.1635689083</v>
      </c>
      <c r="AS49" s="264">
        <v>85682.346673106789</v>
      </c>
      <c r="AT49" s="264">
        <v>1667358.3684183459</v>
      </c>
    </row>
    <row r="50" spans="2:46">
      <c r="D50" s="264" t="s">
        <v>174</v>
      </c>
      <c r="G50" s="269">
        <v>1045</v>
      </c>
      <c r="I50" s="380">
        <f t="shared" si="0"/>
        <v>1045</v>
      </c>
      <c r="J50" s="269">
        <v>26659.902213536061</v>
      </c>
      <c r="K50" s="269">
        <v>479582943.5234735</v>
      </c>
      <c r="L50" s="269">
        <v>104846257.57277828</v>
      </c>
      <c r="M50" s="269">
        <v>37694694.428710021</v>
      </c>
      <c r="N50" s="269">
        <v>151185360.62522</v>
      </c>
      <c r="O50" s="269">
        <v>196432.88639821598</v>
      </c>
      <c r="P50" s="269">
        <v>76042994</v>
      </c>
      <c r="Q50" s="269">
        <v>162975.12203953273</v>
      </c>
      <c r="R50" s="269">
        <v>256612.8891260348</v>
      </c>
      <c r="S50" s="269">
        <v>141834128061.60434</v>
      </c>
      <c r="T50" s="269">
        <v>56998971618.690002</v>
      </c>
      <c r="U50" s="269">
        <v>117430271305.47</v>
      </c>
      <c r="V50" s="269">
        <v>64527695</v>
      </c>
      <c r="W50" s="269">
        <v>598487.11559064477</v>
      </c>
      <c r="X50" s="269">
        <v>183786.95967553224</v>
      </c>
      <c r="Y50" s="269">
        <v>83507573.571378872</v>
      </c>
      <c r="Z50" s="269">
        <v>29927832.055080004</v>
      </c>
      <c r="AA50" s="269">
        <v>93717193.362925574</v>
      </c>
      <c r="AB50" s="269">
        <v>108188</v>
      </c>
      <c r="AC50" s="269">
        <v>34512</v>
      </c>
      <c r="AD50" s="269">
        <v>219386.06182452588</v>
      </c>
      <c r="AE50" s="269">
        <v>335065</v>
      </c>
      <c r="AF50" s="269">
        <v>30269</v>
      </c>
      <c r="AG50" s="269">
        <v>3033.3219265682596</v>
      </c>
      <c r="AH50" s="269">
        <v>154264</v>
      </c>
      <c r="AI50" s="269">
        <v>20338.735799999999</v>
      </c>
      <c r="AJ50" s="269">
        <v>122442229117.11401</v>
      </c>
      <c r="AK50" s="269">
        <v>254082085.99559438</v>
      </c>
      <c r="AL50" s="269">
        <v>242038512.42799997</v>
      </c>
      <c r="AM50" s="269">
        <v>169965.76857090613</v>
      </c>
      <c r="AN50" s="269">
        <v>105788</v>
      </c>
      <c r="AO50" s="269">
        <v>336222471.98437649</v>
      </c>
      <c r="AP50" s="269">
        <v>221116469</v>
      </c>
      <c r="AQ50" s="264">
        <v>137532.72200000001</v>
      </c>
      <c r="AR50" s="264">
        <v>36749237.01181747</v>
      </c>
      <c r="AS50" s="264">
        <v>7837200.1263908995</v>
      </c>
      <c r="AT50" s="264">
        <v>12730192.768931035</v>
      </c>
    </row>
    <row r="51" spans="2:46" ht="12.75" customHeight="1">
      <c r="B51" s="264" t="s">
        <v>365</v>
      </c>
      <c r="D51" s="264" t="s">
        <v>39</v>
      </c>
      <c r="G51" s="269">
        <v>1046</v>
      </c>
      <c r="I51" s="380">
        <f t="shared" si="0"/>
        <v>1046</v>
      </c>
      <c r="J51" s="269">
        <v>15434.689863903546</v>
      </c>
      <c r="K51" s="269">
        <v>133060291.32455701</v>
      </c>
      <c r="L51" s="269">
        <v>69692381</v>
      </c>
      <c r="M51" s="269">
        <v>1269648</v>
      </c>
      <c r="N51" s="269">
        <v>102579322</v>
      </c>
      <c r="O51" s="269">
        <v>84282.805999999997</v>
      </c>
      <c r="P51" s="269">
        <v>62390178</v>
      </c>
      <c r="Q51" s="269">
        <v>66201</v>
      </c>
      <c r="R51" s="269">
        <v>36407.199638999999</v>
      </c>
      <c r="S51" s="269">
        <v>79705233193.826614</v>
      </c>
      <c r="T51" s="269">
        <v>43176393309.439995</v>
      </c>
      <c r="U51" s="269">
        <v>68821992399</v>
      </c>
      <c r="V51" s="269">
        <v>42491205</v>
      </c>
      <c r="W51" s="269">
        <v>77509.699999999983</v>
      </c>
      <c r="X51" s="269">
        <v>38260.262000000002</v>
      </c>
      <c r="Y51" s="269">
        <v>17485817.365024429</v>
      </c>
      <c r="Z51" s="269">
        <v>795261.80700000003</v>
      </c>
      <c r="AA51" s="269">
        <v>12940464</v>
      </c>
      <c r="AB51" s="269">
        <v>23254</v>
      </c>
      <c r="AC51" s="269">
        <v>7246</v>
      </c>
      <c r="AD51" s="269">
        <v>20085.264490940728</v>
      </c>
      <c r="AE51" s="269">
        <v>119865</v>
      </c>
      <c r="AF51" s="269">
        <v>9812</v>
      </c>
      <c r="AG51" s="269">
        <v>2150.9546963370008</v>
      </c>
      <c r="AH51" s="269">
        <v>40146</v>
      </c>
      <c r="AI51" s="269">
        <v>12131</v>
      </c>
      <c r="AJ51" s="269">
        <v>32253018714</v>
      </c>
      <c r="AK51" s="269">
        <v>169415251.259179</v>
      </c>
      <c r="AL51" s="269">
        <v>102646554</v>
      </c>
      <c r="AM51" s="269">
        <v>75360.746954508708</v>
      </c>
      <c r="AN51" s="269">
        <v>26513</v>
      </c>
      <c r="AO51" s="269">
        <v>95311401</v>
      </c>
      <c r="AP51" s="269">
        <v>154548538</v>
      </c>
      <c r="AQ51" s="264">
        <v>125489.53</v>
      </c>
      <c r="AR51" s="264">
        <v>16134065.946134295</v>
      </c>
      <c r="AS51" s="264">
        <v>11377748</v>
      </c>
      <c r="AT51" s="264">
        <v>962362.02954999998</v>
      </c>
    </row>
    <row r="52" spans="2:46">
      <c r="D52" s="264" t="s">
        <v>40</v>
      </c>
      <c r="G52" s="269">
        <v>1047</v>
      </c>
      <c r="I52" s="380">
        <f t="shared" si="0"/>
        <v>1047</v>
      </c>
      <c r="J52" s="269">
        <v>39034.138750693535</v>
      </c>
      <c r="K52" s="269">
        <v>63149969.878449999</v>
      </c>
      <c r="L52" s="269">
        <v>3154839.0796336895</v>
      </c>
      <c r="M52" s="269">
        <v>2244529.1740000001</v>
      </c>
      <c r="N52" s="269">
        <v>85036874</v>
      </c>
      <c r="O52" s="269">
        <v>40307</v>
      </c>
      <c r="P52" s="269">
        <v>29257940</v>
      </c>
      <c r="Q52" s="269">
        <v>92199</v>
      </c>
      <c r="R52" s="269">
        <v>53020.196375</v>
      </c>
      <c r="S52" s="269">
        <v>32028076164.697937</v>
      </c>
      <c r="T52" s="269">
        <v>20901150815.510002</v>
      </c>
      <c r="U52" s="269">
        <v>27990303126</v>
      </c>
      <c r="V52" s="269">
        <v>22859655</v>
      </c>
      <c r="W52" s="269">
        <v>9734.6</v>
      </c>
      <c r="X52" s="269">
        <v>46087.592000000004</v>
      </c>
      <c r="Y52" s="269">
        <v>23924878.448279463</v>
      </c>
      <c r="Z52" s="269">
        <v>1604387.554</v>
      </c>
      <c r="AA52" s="269">
        <v>27941956</v>
      </c>
      <c r="AB52" s="269">
        <v>53891</v>
      </c>
      <c r="AC52" s="269">
        <v>28700</v>
      </c>
      <c r="AD52" s="269">
        <v>96490.48237565787</v>
      </c>
      <c r="AE52" s="269">
        <v>206071</v>
      </c>
      <c r="AF52" s="269">
        <v>41730</v>
      </c>
      <c r="AG52" s="269">
        <v>3533.9361745600104</v>
      </c>
      <c r="AH52" s="269">
        <v>59817</v>
      </c>
      <c r="AI52" s="269">
        <v>8419</v>
      </c>
      <c r="AJ52" s="269">
        <v>64145362077.622513</v>
      </c>
      <c r="AK52" s="269">
        <v>142913731.98649064</v>
      </c>
      <c r="AL52" s="269">
        <v>298709214</v>
      </c>
      <c r="AM52" s="269">
        <v>78904.129745984596</v>
      </c>
      <c r="AN52" s="269">
        <v>25841</v>
      </c>
      <c r="AO52" s="269">
        <v>275400066</v>
      </c>
      <c r="AP52" s="269">
        <v>53872414</v>
      </c>
      <c r="AQ52" s="264">
        <v>62101.817000000003</v>
      </c>
      <c r="AR52" s="264">
        <v>35369060.346118949</v>
      </c>
      <c r="AS52" s="264">
        <v>6911306.7556299996</v>
      </c>
      <c r="AT52" s="264">
        <v>16171151.406440001</v>
      </c>
    </row>
    <row r="53" spans="2:46">
      <c r="D53" s="264" t="s">
        <v>413</v>
      </c>
      <c r="G53" s="269">
        <v>1048</v>
      </c>
      <c r="I53" s="380">
        <f t="shared" si="0"/>
        <v>1048</v>
      </c>
      <c r="J53" s="269">
        <v>0</v>
      </c>
      <c r="K53" s="269">
        <v>0</v>
      </c>
      <c r="L53" s="269">
        <v>0</v>
      </c>
      <c r="M53" s="269">
        <v>0</v>
      </c>
      <c r="N53" s="269">
        <v>9713243</v>
      </c>
      <c r="O53" s="269">
        <v>0</v>
      </c>
      <c r="P53" s="269">
        <v>50000</v>
      </c>
      <c r="Q53" s="269">
        <v>0</v>
      </c>
      <c r="R53" s="269">
        <v>0</v>
      </c>
      <c r="S53" s="269">
        <v>4409180.1899999995</v>
      </c>
      <c r="T53" s="269">
        <v>70976584.189999998</v>
      </c>
      <c r="U53" s="269">
        <v>0</v>
      </c>
      <c r="V53" s="269">
        <v>3673584</v>
      </c>
      <c r="W53" s="269">
        <v>0</v>
      </c>
      <c r="X53" s="269">
        <v>67459.383999999991</v>
      </c>
      <c r="Y53" s="269">
        <v>8053425</v>
      </c>
      <c r="Z53" s="269">
        <v>0</v>
      </c>
      <c r="AA53" s="269">
        <v>219599</v>
      </c>
      <c r="AB53" s="269">
        <v>0</v>
      </c>
      <c r="AC53" s="269">
        <v>244</v>
      </c>
      <c r="AD53" s="269">
        <v>9619.1795837199988</v>
      </c>
      <c r="AE53" s="269">
        <v>2238</v>
      </c>
      <c r="AF53" s="269">
        <v>0</v>
      </c>
      <c r="AG53" s="269">
        <v>0</v>
      </c>
      <c r="AH53" s="269">
        <v>3775</v>
      </c>
      <c r="AI53" s="269">
        <v>435.64760000000001</v>
      </c>
      <c r="AJ53" s="269">
        <v>27567098543.115898</v>
      </c>
      <c r="AK53" s="269">
        <v>4076876.7334946133</v>
      </c>
      <c r="AL53" s="269">
        <v>0</v>
      </c>
      <c r="AM53" s="269">
        <v>3342.5697421225814</v>
      </c>
      <c r="AN53" s="269">
        <v>0</v>
      </c>
      <c r="AO53" s="269">
        <v>0</v>
      </c>
      <c r="AP53" s="269">
        <v>0</v>
      </c>
      <c r="AQ53" s="264">
        <v>5262.1878108700012</v>
      </c>
      <c r="AR53" s="264">
        <v>0</v>
      </c>
      <c r="AS53" s="264">
        <v>0</v>
      </c>
      <c r="AT53" s="264">
        <v>7233721.3438999988</v>
      </c>
    </row>
    <row r="54" spans="2:46">
      <c r="D54" s="264" t="s">
        <v>418</v>
      </c>
      <c r="G54" s="269">
        <v>1049</v>
      </c>
      <c r="I54" s="380">
        <f t="shared" si="0"/>
        <v>1049</v>
      </c>
      <c r="J54" s="269">
        <v>162.46685994575819</v>
      </c>
      <c r="K54" s="269">
        <v>0</v>
      </c>
      <c r="L54" s="269">
        <v>250329.84864000001</v>
      </c>
      <c r="M54" s="269">
        <v>29457038.303329997</v>
      </c>
      <c r="N54" s="269">
        <v>702010.11477999995</v>
      </c>
      <c r="O54" s="269">
        <v>5627.5846544030301</v>
      </c>
      <c r="P54" s="269">
        <v>5444724</v>
      </c>
      <c r="Q54" s="269">
        <v>2826.302712558278</v>
      </c>
      <c r="R54" s="269">
        <v>46806.197893269964</v>
      </c>
      <c r="S54" s="269">
        <v>905544387</v>
      </c>
      <c r="T54" s="269">
        <v>3593845560</v>
      </c>
      <c r="U54" s="269">
        <v>17170510727.799999</v>
      </c>
      <c r="V54" s="269">
        <v>3503891</v>
      </c>
      <c r="W54" s="269">
        <v>339</v>
      </c>
      <c r="X54" s="269">
        <v>22734</v>
      </c>
      <c r="Y54" s="269">
        <v>477862</v>
      </c>
      <c r="Z54" s="269">
        <v>591021</v>
      </c>
      <c r="AA54" s="269">
        <v>784132.299</v>
      </c>
      <c r="AB54" s="269">
        <v>3448</v>
      </c>
      <c r="AC54" s="269">
        <v>0</v>
      </c>
      <c r="AD54" s="269">
        <v>18958.111268616714</v>
      </c>
      <c r="AE54" s="269">
        <v>5599</v>
      </c>
      <c r="AF54" s="269">
        <v>120</v>
      </c>
      <c r="AG54" s="269">
        <v>55.029535900000035</v>
      </c>
      <c r="AH54" s="269">
        <v>3263</v>
      </c>
      <c r="AI54" s="269">
        <v>592.9</v>
      </c>
      <c r="AJ54" s="269">
        <v>22665005112</v>
      </c>
      <c r="AK54" s="269">
        <v>5949550.3624389991</v>
      </c>
      <c r="AL54" s="269">
        <v>3677218.3080000002</v>
      </c>
      <c r="AM54" s="269">
        <v>7564</v>
      </c>
      <c r="AN54" s="269">
        <v>854</v>
      </c>
      <c r="AO54" s="269">
        <v>14591197</v>
      </c>
      <c r="AP54" s="269">
        <v>92585</v>
      </c>
      <c r="AQ54" s="264">
        <v>1930</v>
      </c>
      <c r="AR54" s="264">
        <v>1056039.2196345888</v>
      </c>
      <c r="AS54" s="264">
        <v>0</v>
      </c>
      <c r="AT54" s="264">
        <v>825538.11669000005</v>
      </c>
    </row>
    <row r="55" spans="2:46">
      <c r="C55" s="264" t="s">
        <v>414</v>
      </c>
      <c r="D55" s="264" t="s">
        <v>249</v>
      </c>
      <c r="G55" s="269">
        <v>1050</v>
      </c>
      <c r="I55" s="380">
        <f t="shared" si="0"/>
        <v>1050</v>
      </c>
      <c r="J55" s="269">
        <v>3672</v>
      </c>
      <c r="K55" s="269">
        <v>10645747</v>
      </c>
      <c r="L55" s="269">
        <v>0</v>
      </c>
      <c r="M55" s="269">
        <v>2342129</v>
      </c>
      <c r="N55" s="269">
        <v>16691696</v>
      </c>
      <c r="O55" s="269">
        <v>17907.517349045502</v>
      </c>
      <c r="P55" s="269">
        <v>11810734</v>
      </c>
      <c r="Q55" s="269">
        <v>14585.522506426902</v>
      </c>
      <c r="R55" s="269">
        <v>10928.397265205764</v>
      </c>
      <c r="S55" s="269">
        <v>4438345715.1566868</v>
      </c>
      <c r="T55" s="269">
        <v>16272202285</v>
      </c>
      <c r="U55" s="269">
        <v>2808305934</v>
      </c>
      <c r="V55" s="269">
        <v>3047785</v>
      </c>
      <c r="W55" s="269">
        <v>4702</v>
      </c>
      <c r="X55" s="269">
        <v>26235.286350605948</v>
      </c>
      <c r="Y55" s="269">
        <v>148006.013134687</v>
      </c>
      <c r="Z55" s="269">
        <v>527449</v>
      </c>
      <c r="AA55" s="269">
        <v>11865231.62318</v>
      </c>
      <c r="AB55" s="269">
        <v>17191</v>
      </c>
      <c r="AC55" s="269">
        <v>1706</v>
      </c>
      <c r="AD55" s="269">
        <v>25346.428610999999</v>
      </c>
      <c r="AE55" s="269">
        <v>12920</v>
      </c>
      <c r="AF55" s="269">
        <v>1322</v>
      </c>
      <c r="AG55" s="269">
        <v>138</v>
      </c>
      <c r="AH55" s="269">
        <v>9936</v>
      </c>
      <c r="AI55" s="269">
        <v>458</v>
      </c>
      <c r="AJ55" s="269">
        <v>3085265812</v>
      </c>
      <c r="AK55" s="269">
        <v>7511996.1951569924</v>
      </c>
      <c r="AL55" s="269">
        <v>6646760.4124041786</v>
      </c>
      <c r="AM55" s="269">
        <v>19745.035685360002</v>
      </c>
      <c r="AN55" s="269">
        <v>1974</v>
      </c>
      <c r="AO55" s="269">
        <v>42584641.749421895</v>
      </c>
      <c r="AP55" s="269">
        <v>9449545</v>
      </c>
      <c r="AQ55" s="264">
        <v>3497</v>
      </c>
      <c r="AR55" s="264">
        <v>6184416.4368183985</v>
      </c>
      <c r="AS55" s="264">
        <v>1473157.779531179</v>
      </c>
      <c r="AT55" s="264">
        <v>114495.99160000002</v>
      </c>
    </row>
    <row r="56" spans="2:46">
      <c r="D56" s="264" t="s">
        <v>38</v>
      </c>
      <c r="G56" s="269">
        <v>1051</v>
      </c>
      <c r="I56" s="380">
        <f t="shared" si="0"/>
        <v>1051</v>
      </c>
      <c r="J56" s="269">
        <v>3050</v>
      </c>
      <c r="K56" s="269">
        <v>17021664</v>
      </c>
      <c r="L56" s="269">
        <v>0</v>
      </c>
      <c r="M56" s="269">
        <v>535809.00863000785</v>
      </c>
      <c r="N56" s="269">
        <v>0</v>
      </c>
      <c r="O56" s="269">
        <v>33795.394282666901</v>
      </c>
      <c r="P56" s="269">
        <v>1855952</v>
      </c>
      <c r="Q56" s="269">
        <v>16282.8452435569</v>
      </c>
      <c r="R56" s="269">
        <v>45505.872088969547</v>
      </c>
      <c r="S56" s="269">
        <v>2281860594.8320856</v>
      </c>
      <c r="T56" s="269">
        <v>1448039596</v>
      </c>
      <c r="U56" s="269">
        <v>3688599010</v>
      </c>
      <c r="V56" s="269">
        <v>743641</v>
      </c>
      <c r="W56" s="269">
        <v>24202</v>
      </c>
      <c r="X56" s="269">
        <v>12028.723385315747</v>
      </c>
      <c r="Y56" s="269">
        <v>517036.95456202398</v>
      </c>
      <c r="Z56" s="269">
        <v>121812</v>
      </c>
      <c r="AA56" s="269">
        <v>1339393.7899044566</v>
      </c>
      <c r="AB56" s="269">
        <v>5780</v>
      </c>
      <c r="AC56" s="269">
        <v>7178</v>
      </c>
      <c r="AD56" s="269">
        <v>82622.666987708173</v>
      </c>
      <c r="AE56" s="269">
        <v>52582</v>
      </c>
      <c r="AF56" s="269">
        <v>8211</v>
      </c>
      <c r="AG56" s="269">
        <v>964.43038265442499</v>
      </c>
      <c r="AH56" s="269">
        <v>41356</v>
      </c>
      <c r="AI56" s="269">
        <v>1303</v>
      </c>
      <c r="AJ56" s="269">
        <v>27200042265</v>
      </c>
      <c r="AK56" s="269">
        <v>88637394.773309529</v>
      </c>
      <c r="AL56" s="269">
        <v>4402291.9029999999</v>
      </c>
      <c r="AM56" s="269">
        <v>6908.3009996100018</v>
      </c>
      <c r="AN56" s="269">
        <v>4820</v>
      </c>
      <c r="AO56" s="269">
        <v>25273801.858622741</v>
      </c>
      <c r="AP56" s="269">
        <v>6990333</v>
      </c>
      <c r="AQ56" s="264">
        <v>24888</v>
      </c>
      <c r="AR56" s="264">
        <v>5195178.9986091331</v>
      </c>
      <c r="AS56" s="264">
        <v>23277.836085422558</v>
      </c>
      <c r="AT56" s="264">
        <v>370857.74299276579</v>
      </c>
    </row>
    <row r="57" spans="2:46">
      <c r="D57" s="264" t="s">
        <v>602</v>
      </c>
      <c r="G57" s="269">
        <v>1052</v>
      </c>
      <c r="I57" s="380">
        <f t="shared" si="0"/>
        <v>1052</v>
      </c>
      <c r="J57" s="269">
        <v>61353.295474542836</v>
      </c>
      <c r="K57" s="269">
        <v>223877672.20300701</v>
      </c>
      <c r="L57" s="269">
        <v>73097549.928273678</v>
      </c>
      <c r="M57" s="269">
        <v>35849153.485960007</v>
      </c>
      <c r="N57" s="269">
        <v>214723145.11478001</v>
      </c>
      <c r="O57" s="269">
        <v>181920.30228611545</v>
      </c>
      <c r="P57" s="269">
        <v>110809528</v>
      </c>
      <c r="Q57" s="269">
        <v>192094.67046254207</v>
      </c>
      <c r="R57" s="269">
        <v>192667.86326144528</v>
      </c>
      <c r="S57" s="269">
        <v>119363469235.70334</v>
      </c>
      <c r="T57" s="269">
        <v>85462608150.139999</v>
      </c>
      <c r="U57" s="269">
        <v>120479711196.8</v>
      </c>
      <c r="V57" s="269">
        <v>76319761</v>
      </c>
      <c r="W57" s="269">
        <v>116487.29999999999</v>
      </c>
      <c r="X57" s="269">
        <v>212805.2477359217</v>
      </c>
      <c r="Y57" s="269">
        <v>50607025.781000599</v>
      </c>
      <c r="Z57" s="269">
        <v>3639931.361</v>
      </c>
      <c r="AA57" s="269">
        <v>55090776.712084457</v>
      </c>
      <c r="AB57" s="269">
        <v>103564</v>
      </c>
      <c r="AC57" s="269">
        <v>45074</v>
      </c>
      <c r="AD57" s="269">
        <v>253122.13331764349</v>
      </c>
      <c r="AE57" s="269">
        <v>399275</v>
      </c>
      <c r="AF57" s="269">
        <v>61195</v>
      </c>
      <c r="AG57" s="269">
        <v>6842.350789451436</v>
      </c>
      <c r="AH57" s="269">
        <v>158293</v>
      </c>
      <c r="AI57" s="269">
        <v>23339.547600000002</v>
      </c>
      <c r="AJ57" s="269">
        <v>176915792523.7384</v>
      </c>
      <c r="AK57" s="269">
        <v>418504801.31006974</v>
      </c>
      <c r="AL57" s="269">
        <v>416082038.6234042</v>
      </c>
      <c r="AM57" s="269">
        <v>191824.78312758589</v>
      </c>
      <c r="AN57" s="269">
        <v>60002</v>
      </c>
      <c r="AO57" s="269">
        <v>453161107.60804462</v>
      </c>
      <c r="AP57" s="269">
        <v>224953415</v>
      </c>
      <c r="AQ57" s="264">
        <v>223168.53481087001</v>
      </c>
      <c r="AR57" s="264">
        <v>63938760.947315365</v>
      </c>
      <c r="AS57" s="264">
        <v>19785490.371246606</v>
      </c>
      <c r="AT57" s="264">
        <v>25678126.631172765</v>
      </c>
    </row>
    <row r="58" spans="2:46" ht="12.75" customHeight="1">
      <c r="B58" s="264" t="s">
        <v>366</v>
      </c>
      <c r="D58" s="264" t="s">
        <v>49</v>
      </c>
      <c r="G58" s="269">
        <v>1053</v>
      </c>
      <c r="I58" s="380">
        <f t="shared" si="0"/>
        <v>1053</v>
      </c>
      <c r="J58" s="269">
        <v>5584.3844585902289</v>
      </c>
      <c r="K58" s="269">
        <v>491278187.61699998</v>
      </c>
      <c r="L58" s="269">
        <v>14255460.062870001</v>
      </c>
      <c r="M58" s="269">
        <v>16420000</v>
      </c>
      <c r="N58" s="269">
        <v>47741433</v>
      </c>
      <c r="O58" s="269">
        <v>0</v>
      </c>
      <c r="P58" s="269">
        <v>16440000</v>
      </c>
      <c r="Q58" s="269">
        <v>27325</v>
      </c>
      <c r="R58" s="269">
        <v>23718.828037342453</v>
      </c>
      <c r="S58" s="269">
        <v>25952497493.962914</v>
      </c>
      <c r="T58" s="269">
        <v>18902564454.780003</v>
      </c>
      <c r="U58" s="269">
        <v>12041823047.17</v>
      </c>
      <c r="V58" s="269">
        <v>21946234</v>
      </c>
      <c r="W58" s="269">
        <v>882437.06422399997</v>
      </c>
      <c r="X58" s="269">
        <v>103502</v>
      </c>
      <c r="Y58" s="269">
        <v>39625253</v>
      </c>
      <c r="Z58" s="269">
        <v>2239476</v>
      </c>
      <c r="AA58" s="269">
        <v>27077000</v>
      </c>
      <c r="AB58" s="269">
        <v>32431</v>
      </c>
      <c r="AC58" s="269">
        <v>0</v>
      </c>
      <c r="AD58" s="269">
        <v>22924.577373334276</v>
      </c>
      <c r="AE58" s="269">
        <v>6934</v>
      </c>
      <c r="AF58" s="269">
        <v>42474</v>
      </c>
      <c r="AG58" s="269">
        <v>15813.792451880001</v>
      </c>
      <c r="AH58" s="269">
        <v>12688</v>
      </c>
      <c r="AI58" s="269">
        <v>10063.4277</v>
      </c>
      <c r="AJ58" s="269">
        <v>23627192457</v>
      </c>
      <c r="AK58" s="269">
        <v>25790668.46794704</v>
      </c>
      <c r="AL58" s="269">
        <v>571009442</v>
      </c>
      <c r="AM58" s="269">
        <v>28984.1675</v>
      </c>
      <c r="AN58" s="269">
        <v>99244</v>
      </c>
      <c r="AO58" s="269">
        <v>326660060</v>
      </c>
      <c r="AP58" s="269">
        <v>513330280</v>
      </c>
      <c r="AQ58" s="264">
        <v>104486.202</v>
      </c>
      <c r="AR58" s="264">
        <v>32643080.760018341</v>
      </c>
      <c r="AS58" s="264">
        <v>17486828</v>
      </c>
      <c r="AT58" s="264">
        <v>33835605.256289199</v>
      </c>
    </row>
    <row r="59" spans="2:46">
      <c r="D59" s="264" t="s">
        <v>50</v>
      </c>
      <c r="G59" s="269">
        <v>1054</v>
      </c>
      <c r="I59" s="380">
        <f t="shared" si="0"/>
        <v>1054</v>
      </c>
      <c r="J59" s="269">
        <v>8861.0201485935759</v>
      </c>
      <c r="K59" s="269">
        <v>98626804.326999992</v>
      </c>
      <c r="L59" s="269">
        <v>94942234.163839906</v>
      </c>
      <c r="M59" s="269">
        <v>26056670</v>
      </c>
      <c r="N59" s="269">
        <v>74090416</v>
      </c>
      <c r="O59" s="269">
        <v>24146.356</v>
      </c>
      <c r="P59" s="269">
        <v>27678000</v>
      </c>
      <c r="Q59" s="269">
        <v>22390</v>
      </c>
      <c r="R59" s="269">
        <v>125773.30852676756</v>
      </c>
      <c r="S59" s="269">
        <v>30964733074.181316</v>
      </c>
      <c r="T59" s="269">
        <v>27328477574.690002</v>
      </c>
      <c r="U59" s="269">
        <v>34896825379.800003</v>
      </c>
      <c r="V59" s="269">
        <v>22164197</v>
      </c>
      <c r="W59" s="269">
        <v>115018.82544499999</v>
      </c>
      <c r="X59" s="269">
        <v>114748.99399999999</v>
      </c>
      <c r="Y59" s="269">
        <v>49823780.912992984</v>
      </c>
      <c r="Z59" s="269">
        <v>1381193</v>
      </c>
      <c r="AA59" s="269">
        <v>32252000</v>
      </c>
      <c r="AB59" s="269">
        <v>53154</v>
      </c>
      <c r="AC59" s="269">
        <v>131622</v>
      </c>
      <c r="AD59" s="269">
        <v>67330.660388258257</v>
      </c>
      <c r="AE59" s="269">
        <v>116438</v>
      </c>
      <c r="AF59" s="269">
        <v>29467</v>
      </c>
      <c r="AG59" s="269">
        <v>5044.8398410969994</v>
      </c>
      <c r="AH59" s="269">
        <v>36748</v>
      </c>
      <c r="AI59" s="269">
        <v>14178.391900000001</v>
      </c>
      <c r="AJ59" s="269">
        <v>103207310096.89999</v>
      </c>
      <c r="AK59" s="269">
        <v>118244277.97549446</v>
      </c>
      <c r="AL59" s="269">
        <v>312514210</v>
      </c>
      <c r="AM59" s="269">
        <v>70966.929426475021</v>
      </c>
      <c r="AN59" s="269">
        <v>41970</v>
      </c>
      <c r="AO59" s="269">
        <v>149374329</v>
      </c>
      <c r="AP59" s="269">
        <v>114838933</v>
      </c>
      <c r="AQ59" s="264">
        <v>78392.974000000002</v>
      </c>
      <c r="AR59" s="264">
        <v>22330221.667036995</v>
      </c>
      <c r="AS59" s="264">
        <v>8268944</v>
      </c>
      <c r="AT59" s="264">
        <v>9248640.394989999</v>
      </c>
    </row>
    <row r="60" spans="2:46">
      <c r="D60" s="264" t="s">
        <v>51</v>
      </c>
      <c r="G60" s="269">
        <v>1055</v>
      </c>
      <c r="I60" s="380">
        <f t="shared" si="0"/>
        <v>1055</v>
      </c>
      <c r="J60" s="269">
        <v>2064.2305547063102</v>
      </c>
      <c r="K60" s="269">
        <v>28142970.300000001</v>
      </c>
      <c r="L60" s="269">
        <v>14663052</v>
      </c>
      <c r="M60" s="269">
        <v>4833194</v>
      </c>
      <c r="N60" s="269">
        <v>19037621</v>
      </c>
      <c r="O60" s="269">
        <v>22948.127</v>
      </c>
      <c r="P60" s="269">
        <v>4698423</v>
      </c>
      <c r="Q60" s="269">
        <v>13184</v>
      </c>
      <c r="R60" s="269">
        <v>17480.853104589998</v>
      </c>
      <c r="S60" s="269">
        <v>2684934679.5700002</v>
      </c>
      <c r="T60" s="269">
        <v>3388305669.1100001</v>
      </c>
      <c r="U60" s="269">
        <v>3718952609.6599998</v>
      </c>
      <c r="V60" s="269">
        <v>2841027</v>
      </c>
      <c r="W60" s="269">
        <v>41028</v>
      </c>
      <c r="X60" s="269">
        <v>14875.531999999999</v>
      </c>
      <c r="Y60" s="269">
        <v>8054234.2168995347</v>
      </c>
      <c r="Z60" s="269">
        <v>2458098</v>
      </c>
      <c r="AA60" s="269">
        <v>8327758</v>
      </c>
      <c r="AB60" s="269">
        <v>4740</v>
      </c>
      <c r="AC60" s="269">
        <v>11928</v>
      </c>
      <c r="AD60" s="269">
        <v>21153.25002597479</v>
      </c>
      <c r="AE60" s="269">
        <v>46572</v>
      </c>
      <c r="AF60" s="269">
        <v>26042</v>
      </c>
      <c r="AG60" s="269">
        <v>2114.22057984</v>
      </c>
      <c r="AH60" s="269">
        <v>23131</v>
      </c>
      <c r="AI60" s="269">
        <v>5760.2995000000001</v>
      </c>
      <c r="AJ60" s="269">
        <v>18432858147</v>
      </c>
      <c r="AK60" s="269">
        <v>14667225.009232767</v>
      </c>
      <c r="AL60" s="269">
        <v>30289096</v>
      </c>
      <c r="AM60" s="269">
        <v>30447.667770462947</v>
      </c>
      <c r="AN60" s="269">
        <v>7942</v>
      </c>
      <c r="AO60" s="269">
        <v>40265140</v>
      </c>
      <c r="AP60" s="269">
        <v>18982072</v>
      </c>
      <c r="AQ60" s="264">
        <v>16109.806476959999</v>
      </c>
      <c r="AR60" s="264">
        <v>8864889.6155876555</v>
      </c>
      <c r="AS60" s="264">
        <v>1043356</v>
      </c>
      <c r="AT60" s="264">
        <v>8972796.1656100005</v>
      </c>
    </row>
    <row r="61" spans="2:46">
      <c r="D61" s="264" t="s">
        <v>52</v>
      </c>
      <c r="G61" s="269">
        <v>1056</v>
      </c>
      <c r="I61" s="380">
        <f t="shared" si="0"/>
        <v>1056</v>
      </c>
      <c r="J61" s="269">
        <v>890.36872199800007</v>
      </c>
      <c r="K61" s="269">
        <v>206714974.94689399</v>
      </c>
      <c r="L61" s="269">
        <v>2164456</v>
      </c>
      <c r="M61" s="269">
        <v>0</v>
      </c>
      <c r="N61" s="269">
        <v>249240.83684</v>
      </c>
      <c r="O61" s="269">
        <v>14812.303172</v>
      </c>
      <c r="P61" s="269">
        <v>167099</v>
      </c>
      <c r="Q61" s="269">
        <v>1849</v>
      </c>
      <c r="R61" s="269">
        <v>11668.636096209999</v>
      </c>
      <c r="S61" s="269">
        <v>3257298617.5900002</v>
      </c>
      <c r="T61" s="269">
        <v>1475796578.8899999</v>
      </c>
      <c r="U61" s="269">
        <v>2580240448.8299999</v>
      </c>
      <c r="V61" s="269">
        <v>126241</v>
      </c>
      <c r="W61" s="269">
        <v>6159</v>
      </c>
      <c r="X61" s="269">
        <v>10104</v>
      </c>
      <c r="Y61" s="269">
        <v>4520991.4327485384</v>
      </c>
      <c r="Z61" s="269">
        <v>0</v>
      </c>
      <c r="AA61" s="269">
        <v>5776000</v>
      </c>
      <c r="AB61" s="269">
        <v>11868</v>
      </c>
      <c r="AC61" s="269">
        <v>8644</v>
      </c>
      <c r="AD61" s="269">
        <v>1594.3419720459997</v>
      </c>
      <c r="AE61" s="269">
        <v>22036</v>
      </c>
      <c r="AF61" s="269">
        <v>3998</v>
      </c>
      <c r="AG61" s="269">
        <v>2371.5703156</v>
      </c>
      <c r="AH61" s="269">
        <v>625</v>
      </c>
      <c r="AI61" s="269">
        <v>667.8673</v>
      </c>
      <c r="AJ61" s="269">
        <v>8585000000</v>
      </c>
      <c r="AK61" s="269">
        <v>27350944.514951382</v>
      </c>
      <c r="AL61" s="269">
        <v>76897627</v>
      </c>
      <c r="AM61" s="269">
        <v>64066.483874990525</v>
      </c>
      <c r="AN61" s="269">
        <v>30133</v>
      </c>
      <c r="AO61" s="269">
        <v>110909693</v>
      </c>
      <c r="AP61" s="269">
        <v>129502155</v>
      </c>
      <c r="AQ61" s="264">
        <v>18551.733</v>
      </c>
      <c r="AR61" s="264">
        <v>2843355.3785576681</v>
      </c>
      <c r="AS61" s="264">
        <v>707923</v>
      </c>
      <c r="AT61" s="264">
        <v>226927.64799</v>
      </c>
    </row>
    <row r="62" spans="2:46">
      <c r="D62" s="264" t="s">
        <v>53</v>
      </c>
      <c r="G62" s="269">
        <v>1057</v>
      </c>
      <c r="I62" s="380">
        <f t="shared" si="0"/>
        <v>1057</v>
      </c>
      <c r="J62" s="269">
        <v>6012.6884650000002</v>
      </c>
      <c r="K62" s="269">
        <v>0</v>
      </c>
      <c r="L62" s="269">
        <v>5443032</v>
      </c>
      <c r="M62" s="269">
        <v>323144</v>
      </c>
      <c r="N62" s="269">
        <v>11812904</v>
      </c>
      <c r="O62" s="269">
        <v>28782.498</v>
      </c>
      <c r="P62" s="269">
        <v>90852</v>
      </c>
      <c r="Q62" s="269">
        <v>1300</v>
      </c>
      <c r="R62" s="269">
        <v>11813.670829999999</v>
      </c>
      <c r="S62" s="269">
        <v>12800129087</v>
      </c>
      <c r="T62" s="269">
        <v>2668662284.25</v>
      </c>
      <c r="U62" s="269">
        <v>5413928084.4499998</v>
      </c>
      <c r="V62" s="269">
        <v>316177</v>
      </c>
      <c r="W62" s="269">
        <v>19514</v>
      </c>
      <c r="X62" s="269">
        <v>42313.226999999999</v>
      </c>
      <c r="Y62" s="269">
        <v>40302712.676056303</v>
      </c>
      <c r="Z62" s="269">
        <v>5769909</v>
      </c>
      <c r="AA62" s="269">
        <v>2953000</v>
      </c>
      <c r="AB62" s="269">
        <v>23322</v>
      </c>
      <c r="AC62" s="269">
        <v>41824</v>
      </c>
      <c r="AD62" s="269">
        <v>27774.89118337</v>
      </c>
      <c r="AE62" s="269">
        <v>20418</v>
      </c>
      <c r="AF62" s="269">
        <v>7033</v>
      </c>
      <c r="AG62" s="269">
        <v>3515.61718105</v>
      </c>
      <c r="AH62" s="269">
        <v>1844</v>
      </c>
      <c r="AI62" s="269">
        <v>281.47739999999999</v>
      </c>
      <c r="AJ62" s="269">
        <v>18552470000</v>
      </c>
      <c r="AK62" s="269">
        <v>88695285.640581548</v>
      </c>
      <c r="AL62" s="269">
        <v>252191283</v>
      </c>
      <c r="AM62" s="269">
        <v>55290.772162449997</v>
      </c>
      <c r="AN62" s="269">
        <v>22927</v>
      </c>
      <c r="AO62" s="269">
        <v>102744625</v>
      </c>
      <c r="AP62" s="269">
        <v>79003298</v>
      </c>
      <c r="AQ62" s="264">
        <v>448.19190000000003</v>
      </c>
      <c r="AR62" s="264">
        <v>27524667.011448015</v>
      </c>
      <c r="AS62" s="264">
        <v>0</v>
      </c>
      <c r="AT62" s="264">
        <v>0</v>
      </c>
    </row>
    <row r="63" spans="2:46">
      <c r="D63" s="264" t="s">
        <v>54</v>
      </c>
      <c r="G63" s="269">
        <v>1058</v>
      </c>
      <c r="I63" s="380">
        <f t="shared" si="0"/>
        <v>1058</v>
      </c>
      <c r="J63" s="269">
        <v>0</v>
      </c>
      <c r="K63" s="269">
        <v>0</v>
      </c>
      <c r="L63" s="269">
        <v>38318334</v>
      </c>
      <c r="M63" s="269">
        <v>2404761.5212500002</v>
      </c>
      <c r="N63" s="269">
        <v>31295110</v>
      </c>
      <c r="O63" s="269">
        <v>38258.630331974287</v>
      </c>
      <c r="P63" s="269">
        <v>0</v>
      </c>
      <c r="Q63" s="269">
        <v>12501</v>
      </c>
      <c r="R63" s="269">
        <v>34468.035543689992</v>
      </c>
      <c r="S63" s="269">
        <v>11079041765</v>
      </c>
      <c r="T63" s="269">
        <v>0</v>
      </c>
      <c r="U63" s="269">
        <v>0</v>
      </c>
      <c r="V63" s="269">
        <v>0</v>
      </c>
      <c r="W63" s="269">
        <v>167297.9807484</v>
      </c>
      <c r="X63" s="269">
        <v>4866.5915577899996</v>
      </c>
      <c r="Y63" s="269">
        <v>0</v>
      </c>
      <c r="Z63" s="269">
        <v>0</v>
      </c>
      <c r="AA63" s="269">
        <v>940000</v>
      </c>
      <c r="AB63" s="269">
        <v>0</v>
      </c>
      <c r="AC63" s="269">
        <v>0</v>
      </c>
      <c r="AD63" s="269">
        <v>40090.14</v>
      </c>
      <c r="AE63" s="269">
        <v>183662</v>
      </c>
      <c r="AF63" s="269">
        <v>54116</v>
      </c>
      <c r="AG63" s="269">
        <v>1665.5029999999999</v>
      </c>
      <c r="AH63" s="269">
        <v>25107</v>
      </c>
      <c r="AI63" s="269">
        <v>8268</v>
      </c>
      <c r="AJ63" s="269">
        <v>28174215533.540001</v>
      </c>
      <c r="AK63" s="269">
        <v>61368932.100000001</v>
      </c>
      <c r="AL63" s="269">
        <v>232504557</v>
      </c>
      <c r="AM63" s="269">
        <v>12018.06317044</v>
      </c>
      <c r="AN63" s="269">
        <v>39039</v>
      </c>
      <c r="AO63" s="269">
        <v>218384000</v>
      </c>
      <c r="AP63" s="269">
        <v>221307118.65100002</v>
      </c>
      <c r="AQ63" s="264">
        <v>99776.645280916855</v>
      </c>
      <c r="AR63" s="264">
        <v>48470000</v>
      </c>
      <c r="AS63" s="264">
        <v>14258452.737</v>
      </c>
      <c r="AT63" s="264">
        <v>24922922.679900002</v>
      </c>
    </row>
    <row r="64" spans="2:46">
      <c r="D64" s="264" t="s">
        <v>171</v>
      </c>
      <c r="G64" s="269">
        <v>1059</v>
      </c>
      <c r="I64" s="380">
        <f t="shared" si="0"/>
        <v>1059</v>
      </c>
      <c r="J64" s="269">
        <v>0</v>
      </c>
      <c r="K64" s="269">
        <v>0</v>
      </c>
      <c r="L64" s="269">
        <v>2258492</v>
      </c>
      <c r="M64" s="269">
        <v>1780206</v>
      </c>
      <c r="N64" s="269">
        <v>1888463</v>
      </c>
      <c r="O64" s="269">
        <v>15390.017969</v>
      </c>
      <c r="P64" s="269">
        <v>0</v>
      </c>
      <c r="Q64" s="269">
        <v>0</v>
      </c>
      <c r="R64" s="269">
        <v>4618.8749659200002</v>
      </c>
      <c r="S64" s="269">
        <v>365158846</v>
      </c>
      <c r="T64" s="269">
        <v>1742532913.4299998</v>
      </c>
      <c r="U64" s="269">
        <v>0</v>
      </c>
      <c r="V64" s="269">
        <v>0</v>
      </c>
      <c r="W64" s="269">
        <v>5538</v>
      </c>
      <c r="X64" s="269">
        <v>0</v>
      </c>
      <c r="Y64" s="269">
        <v>0</v>
      </c>
      <c r="Z64" s="269">
        <v>0</v>
      </c>
      <c r="AA64" s="269">
        <v>0</v>
      </c>
      <c r="AB64" s="269">
        <v>11859</v>
      </c>
      <c r="AC64" s="269">
        <v>7574</v>
      </c>
      <c r="AD64" s="269">
        <v>9169.210252096671</v>
      </c>
      <c r="AE64" s="269">
        <v>21213</v>
      </c>
      <c r="AF64" s="269">
        <v>5355</v>
      </c>
      <c r="AG64" s="269">
        <v>0</v>
      </c>
      <c r="AH64" s="269">
        <v>5234</v>
      </c>
      <c r="AI64" s="269">
        <v>228.47559999999999</v>
      </c>
      <c r="AJ64" s="269">
        <v>0</v>
      </c>
      <c r="AK64" s="269">
        <v>63336</v>
      </c>
      <c r="AL64" s="269">
        <v>0</v>
      </c>
      <c r="AM64" s="269">
        <v>0</v>
      </c>
      <c r="AN64" s="269">
        <v>0</v>
      </c>
      <c r="AO64" s="269">
        <v>0</v>
      </c>
      <c r="AP64" s="269">
        <v>0</v>
      </c>
      <c r="AQ64" s="264">
        <v>738.75752304000014</v>
      </c>
      <c r="AR64" s="264">
        <v>4645000</v>
      </c>
      <c r="AS64" s="264">
        <v>0</v>
      </c>
      <c r="AT64" s="264">
        <v>0</v>
      </c>
    </row>
    <row r="65" spans="1:46">
      <c r="D65" s="264" t="s">
        <v>603</v>
      </c>
      <c r="G65" s="269">
        <v>1060</v>
      </c>
      <c r="I65" s="380">
        <f t="shared" si="0"/>
        <v>1060</v>
      </c>
      <c r="J65" s="269">
        <v>23412.692348888115</v>
      </c>
      <c r="K65" s="269">
        <v>824762937.19089389</v>
      </c>
      <c r="L65" s="269">
        <v>172045060.2267099</v>
      </c>
      <c r="M65" s="269">
        <v>51817975.521250002</v>
      </c>
      <c r="N65" s="269">
        <v>186115187.83684</v>
      </c>
      <c r="O65" s="269">
        <v>144337.93247297429</v>
      </c>
      <c r="P65" s="269">
        <v>49074374</v>
      </c>
      <c r="Q65" s="269">
        <v>78549</v>
      </c>
      <c r="R65" s="269">
        <v>229542.20710452</v>
      </c>
      <c r="S65" s="269">
        <v>87103793563.30423</v>
      </c>
      <c r="T65" s="269">
        <v>55506339475.150002</v>
      </c>
      <c r="U65" s="269">
        <v>58651769569.910004</v>
      </c>
      <c r="V65" s="269">
        <v>47393876</v>
      </c>
      <c r="W65" s="269">
        <v>1236992.8704174</v>
      </c>
      <c r="X65" s="269">
        <v>290410.34455779003</v>
      </c>
      <c r="Y65" s="269">
        <v>142326972.23869735</v>
      </c>
      <c r="Z65" s="269">
        <v>11848676</v>
      </c>
      <c r="AA65" s="269">
        <v>77325758</v>
      </c>
      <c r="AB65" s="269">
        <v>137374</v>
      </c>
      <c r="AC65" s="269">
        <v>201592</v>
      </c>
      <c r="AD65" s="269">
        <v>190037.07119507997</v>
      </c>
      <c r="AE65" s="269">
        <v>417273</v>
      </c>
      <c r="AF65" s="269">
        <v>168485</v>
      </c>
      <c r="AG65" s="269">
        <v>30525.543369467003</v>
      </c>
      <c r="AH65" s="269">
        <v>105377</v>
      </c>
      <c r="AI65" s="269">
        <v>39447.939400000003</v>
      </c>
      <c r="AJ65" s="269">
        <v>200579046234.44</v>
      </c>
      <c r="AK65" s="269">
        <v>336180669.70820725</v>
      </c>
      <c r="AL65" s="269">
        <v>1475406215</v>
      </c>
      <c r="AM65" s="269">
        <v>261774.08390481849</v>
      </c>
      <c r="AN65" s="269">
        <v>241255</v>
      </c>
      <c r="AO65" s="269">
        <v>948337847</v>
      </c>
      <c r="AP65" s="269">
        <v>1076963856.651</v>
      </c>
      <c r="AQ65" s="264">
        <v>318504.31018091686</v>
      </c>
      <c r="AR65" s="264">
        <v>147321214.43264866</v>
      </c>
      <c r="AS65" s="264">
        <v>41765503.737000003</v>
      </c>
      <c r="AT65" s="264">
        <v>77206892.144779205</v>
      </c>
    </row>
    <row r="66" spans="1:46" ht="12.75" customHeight="1">
      <c r="A66" s="263" t="s">
        <v>107</v>
      </c>
      <c r="B66" s="264" t="s">
        <v>367</v>
      </c>
      <c r="C66" s="264" t="s">
        <v>604</v>
      </c>
      <c r="D66" s="264" t="s">
        <v>178</v>
      </c>
      <c r="E66" s="264" t="s">
        <v>6</v>
      </c>
      <c r="G66" s="269">
        <v>1061</v>
      </c>
      <c r="H66" s="382" t="s">
        <v>605</v>
      </c>
      <c r="I66" s="380" t="str">
        <f t="shared" si="0"/>
        <v>1061c</v>
      </c>
      <c r="J66" s="269">
        <v>18758.821758400001</v>
      </c>
      <c r="K66" s="269">
        <v>33922344.279150002</v>
      </c>
      <c r="L66" s="269">
        <v>21374988.92001</v>
      </c>
      <c r="M66" s="269">
        <v>241061.27900000001</v>
      </c>
      <c r="N66" s="269">
        <v>130826044.88300002</v>
      </c>
      <c r="O66" s="269">
        <v>214931</v>
      </c>
      <c r="P66" s="269">
        <v>4013890</v>
      </c>
      <c r="Q66" s="269">
        <v>57598</v>
      </c>
      <c r="R66" s="269">
        <v>89054</v>
      </c>
      <c r="S66" s="269">
        <v>12566163595.43</v>
      </c>
      <c r="T66" s="269">
        <v>7197626857</v>
      </c>
      <c r="U66" s="269">
        <v>20825998038.57</v>
      </c>
      <c r="V66" s="269">
        <v>2730460</v>
      </c>
      <c r="W66" s="269">
        <v>510.45187886999298</v>
      </c>
      <c r="X66" s="269">
        <v>1014636.9424959403</v>
      </c>
      <c r="Y66" s="269">
        <v>90606097.333509997</v>
      </c>
      <c r="Z66" s="269">
        <v>0</v>
      </c>
      <c r="AA66" s="269">
        <v>61575379.671629995</v>
      </c>
      <c r="AB66" s="269">
        <v>587351</v>
      </c>
      <c r="AC66" s="269">
        <v>349642</v>
      </c>
      <c r="AD66" s="269">
        <v>1366601</v>
      </c>
      <c r="AE66" s="269">
        <v>1924441</v>
      </c>
      <c r="AF66" s="269">
        <v>154907.6678</v>
      </c>
      <c r="AG66" s="269">
        <v>61.445157250000001</v>
      </c>
      <c r="AH66" s="269">
        <v>1100903</v>
      </c>
      <c r="AI66" s="269">
        <v>38407</v>
      </c>
      <c r="AJ66" s="269">
        <v>297796483762</v>
      </c>
      <c r="AK66" s="269">
        <v>712089280.56317997</v>
      </c>
      <c r="AL66" s="269">
        <v>16871785</v>
      </c>
      <c r="AM66" s="269">
        <v>315232.95379807998</v>
      </c>
      <c r="AN66" s="269">
        <v>113019</v>
      </c>
      <c r="AO66" s="269">
        <v>32783331.600000001</v>
      </c>
      <c r="AP66" s="269">
        <v>8029182</v>
      </c>
      <c r="AQ66" s="264">
        <v>42684.005331971399</v>
      </c>
      <c r="AR66" s="264">
        <v>22090239.482999999</v>
      </c>
      <c r="AS66" s="264">
        <v>2211714.6825700002</v>
      </c>
      <c r="AT66" s="264">
        <v>3987846.1587100001</v>
      </c>
    </row>
    <row r="67" spans="1:46">
      <c r="D67" s="264" t="s">
        <v>179</v>
      </c>
      <c r="E67" s="264" t="s">
        <v>10</v>
      </c>
      <c r="G67" s="269">
        <v>1062</v>
      </c>
      <c r="H67" s="382" t="s">
        <v>605</v>
      </c>
      <c r="I67" s="380" t="str">
        <f t="shared" si="0"/>
        <v>1062c</v>
      </c>
      <c r="J67" s="269">
        <v>0</v>
      </c>
      <c r="K67" s="269">
        <v>543501</v>
      </c>
      <c r="L67" s="269">
        <v>12</v>
      </c>
      <c r="M67" s="269">
        <v>307.738</v>
      </c>
      <c r="N67" s="269">
        <v>30532</v>
      </c>
      <c r="O67" s="269">
        <v>112352</v>
      </c>
      <c r="P67" s="269">
        <v>0</v>
      </c>
      <c r="Q67" s="269">
        <v>20</v>
      </c>
      <c r="R67" s="269">
        <v>777174</v>
      </c>
      <c r="S67" s="269">
        <v>1207268442.47</v>
      </c>
      <c r="T67" s="269">
        <v>0</v>
      </c>
      <c r="U67" s="269">
        <v>0</v>
      </c>
      <c r="V67" s="269">
        <v>0</v>
      </c>
      <c r="W67" s="269">
        <v>0</v>
      </c>
      <c r="X67" s="269">
        <v>3</v>
      </c>
      <c r="Y67" s="269">
        <v>0</v>
      </c>
      <c r="Z67" s="269">
        <v>0</v>
      </c>
      <c r="AA67" s="269">
        <v>16555160.38785</v>
      </c>
      <c r="AB67" s="269">
        <v>0</v>
      </c>
      <c r="AC67" s="269">
        <v>266584</v>
      </c>
      <c r="AD67" s="269">
        <v>20881</v>
      </c>
      <c r="AE67" s="269">
        <v>605660</v>
      </c>
      <c r="AF67" s="269">
        <v>0</v>
      </c>
      <c r="AG67" s="269">
        <v>0</v>
      </c>
      <c r="AH67" s="269">
        <v>65</v>
      </c>
      <c r="AI67" s="269">
        <v>286</v>
      </c>
      <c r="AJ67" s="269">
        <v>525451193670</v>
      </c>
      <c r="AK67" s="269">
        <v>0.2</v>
      </c>
      <c r="AL67" s="269">
        <v>0</v>
      </c>
      <c r="AM67" s="269">
        <v>1</v>
      </c>
      <c r="AN67" s="269">
        <v>37</v>
      </c>
      <c r="AO67" s="269">
        <v>725361</v>
      </c>
      <c r="AP67" s="269">
        <v>109220</v>
      </c>
      <c r="AQ67" s="264">
        <v>972379.92749551195</v>
      </c>
      <c r="AR67" s="264">
        <v>95</v>
      </c>
      <c r="AS67" s="264">
        <v>0</v>
      </c>
      <c r="AT67" s="264">
        <v>0</v>
      </c>
    </row>
    <row r="68" spans="1:46">
      <c r="D68" s="264" t="s">
        <v>180</v>
      </c>
      <c r="E68" s="264" t="s">
        <v>7</v>
      </c>
      <c r="G68" s="269">
        <v>1063</v>
      </c>
      <c r="H68" s="382" t="s">
        <v>605</v>
      </c>
      <c r="I68" s="380" t="str">
        <f t="shared" si="0"/>
        <v>1063c</v>
      </c>
      <c r="J68" s="269">
        <v>12247.87140774</v>
      </c>
      <c r="K68" s="269">
        <v>40073916.559119999</v>
      </c>
      <c r="L68" s="269">
        <v>17219019.48669</v>
      </c>
      <c r="M68" s="269">
        <v>328900.28700000001</v>
      </c>
      <c r="N68" s="269">
        <v>71280870.372660011</v>
      </c>
      <c r="O68" s="269">
        <v>220110</v>
      </c>
      <c r="P68" s="269">
        <v>34635214</v>
      </c>
      <c r="Q68" s="269">
        <v>134694</v>
      </c>
      <c r="R68" s="269">
        <v>115618</v>
      </c>
      <c r="S68" s="269">
        <v>5173478801.9099998</v>
      </c>
      <c r="T68" s="269">
        <v>75708023167</v>
      </c>
      <c r="U68" s="269">
        <v>32553087670.740002</v>
      </c>
      <c r="V68" s="269">
        <v>5297660</v>
      </c>
      <c r="W68" s="269">
        <v>713.55341864998286</v>
      </c>
      <c r="X68" s="269">
        <v>351627.14095198014</v>
      </c>
      <c r="Y68" s="269">
        <v>27131942.946169998</v>
      </c>
      <c r="Z68" s="269">
        <v>59330.656904122843</v>
      </c>
      <c r="AA68" s="269">
        <v>50883879.558380008</v>
      </c>
      <c r="AB68" s="269">
        <v>404365</v>
      </c>
      <c r="AC68" s="269">
        <v>434557</v>
      </c>
      <c r="AD68" s="269">
        <v>1705651</v>
      </c>
      <c r="AE68" s="269">
        <v>1092997</v>
      </c>
      <c r="AF68" s="269">
        <v>193490.29199900001</v>
      </c>
      <c r="AG68" s="269">
        <v>35.917743209999998</v>
      </c>
      <c r="AH68" s="269">
        <v>693065</v>
      </c>
      <c r="AI68" s="269">
        <v>22090</v>
      </c>
      <c r="AJ68" s="269">
        <v>280366769477</v>
      </c>
      <c r="AK68" s="269">
        <v>698635773.21411002</v>
      </c>
      <c r="AL68" s="269">
        <v>109496021</v>
      </c>
      <c r="AM68" s="269">
        <v>404175.87140633998</v>
      </c>
      <c r="AN68" s="269">
        <v>187311</v>
      </c>
      <c r="AO68" s="269">
        <v>40368772.600000001</v>
      </c>
      <c r="AP68" s="269">
        <v>10967935</v>
      </c>
      <c r="AQ68" s="264">
        <v>69827.386326836277</v>
      </c>
      <c r="AR68" s="264">
        <v>78307672.729000002</v>
      </c>
      <c r="AS68" s="264">
        <v>6164525.9903600002</v>
      </c>
      <c r="AT68" s="264">
        <v>9323205.4010700006</v>
      </c>
    </row>
    <row r="69" spans="1:46">
      <c r="D69" s="264" t="s">
        <v>181</v>
      </c>
      <c r="E69" s="264" t="s">
        <v>8</v>
      </c>
      <c r="G69" s="269">
        <v>1064</v>
      </c>
      <c r="H69" s="382" t="s">
        <v>605</v>
      </c>
      <c r="I69" s="380" t="str">
        <f t="shared" si="0"/>
        <v>1064c</v>
      </c>
      <c r="J69" s="269">
        <v>30698.816731259998</v>
      </c>
      <c r="K69" s="269">
        <v>23096846.456220001</v>
      </c>
      <c r="L69" s="269">
        <v>35204648.74994</v>
      </c>
      <c r="M69" s="269">
        <v>2139397.503</v>
      </c>
      <c r="N69" s="269">
        <v>224913729.88133994</v>
      </c>
      <c r="O69" s="269">
        <v>64554</v>
      </c>
      <c r="P69" s="269">
        <v>43663159</v>
      </c>
      <c r="Q69" s="269">
        <v>155164</v>
      </c>
      <c r="R69" s="269">
        <v>82951</v>
      </c>
      <c r="S69" s="269">
        <v>66849573941.919991</v>
      </c>
      <c r="T69" s="269">
        <v>72431892465</v>
      </c>
      <c r="U69" s="269">
        <v>46065967562.779999</v>
      </c>
      <c r="V69" s="269">
        <v>8098138</v>
      </c>
      <c r="W69" s="269">
        <v>3463.2129525000282</v>
      </c>
      <c r="X69" s="269">
        <v>1617949.4617073904</v>
      </c>
      <c r="Y69" s="269">
        <v>215393379.07216001</v>
      </c>
      <c r="Z69" s="269">
        <v>524.84803635662217</v>
      </c>
      <c r="AA69" s="269">
        <v>45996739.99554</v>
      </c>
      <c r="AB69" s="269">
        <v>546967</v>
      </c>
      <c r="AC69" s="269">
        <v>205898</v>
      </c>
      <c r="AD69" s="269">
        <v>1595325</v>
      </c>
      <c r="AE69" s="269">
        <v>1499315</v>
      </c>
      <c r="AF69" s="269">
        <v>70677.737099999998</v>
      </c>
      <c r="AG69" s="269">
        <v>5.2896685099999994</v>
      </c>
      <c r="AH69" s="269">
        <v>562430</v>
      </c>
      <c r="AI69" s="269">
        <v>560681</v>
      </c>
      <c r="AJ69" s="269">
        <v>217323488128</v>
      </c>
      <c r="AK69" s="269">
        <v>890624659.79606998</v>
      </c>
      <c r="AL69" s="269">
        <v>110291739</v>
      </c>
      <c r="AM69" s="269">
        <v>290988.98288046999</v>
      </c>
      <c r="AN69" s="269">
        <v>699895</v>
      </c>
      <c r="AO69" s="269">
        <v>56907726</v>
      </c>
      <c r="AP69" s="269">
        <v>12958054</v>
      </c>
      <c r="AQ69" s="264">
        <v>165951.92358101206</v>
      </c>
      <c r="AR69" s="264">
        <v>43898336.405000001</v>
      </c>
      <c r="AS69" s="264">
        <v>1184355.0760999999</v>
      </c>
      <c r="AT69" s="264">
        <v>13142376.478120001</v>
      </c>
    </row>
    <row r="70" spans="1:46">
      <c r="D70" s="264" t="s">
        <v>182</v>
      </c>
      <c r="E70" s="264" t="s">
        <v>4</v>
      </c>
      <c r="G70" s="269">
        <v>1065</v>
      </c>
      <c r="H70" s="382" t="s">
        <v>605</v>
      </c>
      <c r="I70" s="380" t="str">
        <f t="shared" si="0"/>
        <v>1065c</v>
      </c>
      <c r="J70" s="269">
        <v>476171.68843535997</v>
      </c>
      <c r="K70" s="269">
        <v>1953768.5888499999</v>
      </c>
      <c r="L70" s="269">
        <v>13777553.967259998</v>
      </c>
      <c r="M70" s="269">
        <v>199599.22899999999</v>
      </c>
      <c r="N70" s="269">
        <v>873678215.09539998</v>
      </c>
      <c r="O70" s="269">
        <v>31538782</v>
      </c>
      <c r="P70" s="269">
        <v>2620213</v>
      </c>
      <c r="Q70" s="269">
        <v>1086937</v>
      </c>
      <c r="R70" s="269">
        <v>2290786</v>
      </c>
      <c r="S70" s="269">
        <v>2242256437.27</v>
      </c>
      <c r="T70" s="269">
        <v>1403511289</v>
      </c>
      <c r="U70" s="269">
        <v>28793817089.09</v>
      </c>
      <c r="V70" s="269">
        <v>15501</v>
      </c>
      <c r="W70" s="269">
        <v>699.63392110000007</v>
      </c>
      <c r="X70" s="269">
        <v>2191.0884759699998</v>
      </c>
      <c r="Y70" s="269">
        <v>1027344.79495</v>
      </c>
      <c r="Z70" s="269">
        <v>0</v>
      </c>
      <c r="AA70" s="269">
        <v>60930210.154969983</v>
      </c>
      <c r="AB70" s="269">
        <v>1120967</v>
      </c>
      <c r="AC70" s="269">
        <v>598631</v>
      </c>
      <c r="AD70" s="269">
        <v>5619401</v>
      </c>
      <c r="AE70" s="269">
        <v>15755368</v>
      </c>
      <c r="AF70" s="269">
        <v>33280.547056000003</v>
      </c>
      <c r="AG70" s="269">
        <v>0</v>
      </c>
      <c r="AH70" s="269">
        <v>4350560</v>
      </c>
      <c r="AI70" s="269">
        <v>56</v>
      </c>
      <c r="AJ70" s="269">
        <v>2110609514786</v>
      </c>
      <c r="AK70" s="269">
        <v>6477302377.8993397</v>
      </c>
      <c r="AL70" s="269">
        <v>9752919</v>
      </c>
      <c r="AM70" s="269">
        <v>2727547.5424070503</v>
      </c>
      <c r="AN70" s="269">
        <v>70984</v>
      </c>
      <c r="AO70" s="269">
        <v>336138469</v>
      </c>
      <c r="AP70" s="269">
        <v>80676353</v>
      </c>
      <c r="AQ70" s="264">
        <v>40807.811854479165</v>
      </c>
      <c r="AR70" s="264">
        <v>359143983.20099998</v>
      </c>
      <c r="AS70" s="264">
        <v>0</v>
      </c>
      <c r="AT70" s="264">
        <v>302015.64142</v>
      </c>
    </row>
    <row r="71" spans="1:46">
      <c r="D71" s="264" t="s">
        <v>183</v>
      </c>
      <c r="E71" s="264" t="s">
        <v>1</v>
      </c>
      <c r="G71" s="269">
        <v>1066</v>
      </c>
      <c r="H71" s="382" t="s">
        <v>605</v>
      </c>
      <c r="I71" s="380" t="str">
        <f t="shared" si="0"/>
        <v>1066c</v>
      </c>
      <c r="J71" s="269">
        <v>4069313.7073921002</v>
      </c>
      <c r="K71" s="269">
        <v>805973565.37950003</v>
      </c>
      <c r="L71" s="269">
        <v>7349432169.1701689</v>
      </c>
      <c r="M71" s="269">
        <v>629457388.98199999</v>
      </c>
      <c r="N71" s="269">
        <v>4743165223.2924461</v>
      </c>
      <c r="O71" s="269">
        <v>1764540</v>
      </c>
      <c r="P71" s="269">
        <v>1407115134</v>
      </c>
      <c r="Q71" s="269">
        <v>19503026</v>
      </c>
      <c r="R71" s="269">
        <v>60855397</v>
      </c>
      <c r="S71" s="269">
        <v>4229050553681.0981</v>
      </c>
      <c r="T71" s="269">
        <v>2763922763109.7402</v>
      </c>
      <c r="U71" s="269">
        <v>2359871000000</v>
      </c>
      <c r="V71" s="269">
        <v>484162203</v>
      </c>
      <c r="W71" s="269">
        <v>148532.22064461545</v>
      </c>
      <c r="X71" s="269">
        <v>14062117.113900289</v>
      </c>
      <c r="Y71" s="269">
        <v>4645883148.26999</v>
      </c>
      <c r="Z71" s="269">
        <v>597852749</v>
      </c>
      <c r="AA71" s="269">
        <v>1961097403.8610301</v>
      </c>
      <c r="AB71" s="269">
        <v>5664765</v>
      </c>
      <c r="AC71" s="269">
        <v>3280897</v>
      </c>
      <c r="AD71" s="269">
        <v>5354131</v>
      </c>
      <c r="AE71" s="269">
        <v>12586356</v>
      </c>
      <c r="AF71" s="269">
        <v>5256305.4133289997</v>
      </c>
      <c r="AG71" s="269">
        <v>31723.947693419999</v>
      </c>
      <c r="AH71" s="269">
        <v>6153341</v>
      </c>
      <c r="AI71" s="269">
        <v>1535780</v>
      </c>
      <c r="AJ71" s="269">
        <v>13647584352486</v>
      </c>
      <c r="AK71" s="269">
        <v>22292766649.33086</v>
      </c>
      <c r="AL71" s="269">
        <v>520488848</v>
      </c>
      <c r="AM71" s="269">
        <v>9588634.9740687888</v>
      </c>
      <c r="AN71" s="269">
        <v>2838531</v>
      </c>
      <c r="AO71" s="269">
        <v>1137733327</v>
      </c>
      <c r="AP71" s="269">
        <v>743767086</v>
      </c>
      <c r="AQ71" s="264">
        <v>4878379.6049158499</v>
      </c>
      <c r="AR71" s="264">
        <v>2121395102.3483901</v>
      </c>
      <c r="AS71" s="264">
        <v>857621807.44064999</v>
      </c>
      <c r="AT71" s="264">
        <v>1820746120.82181</v>
      </c>
    </row>
    <row r="72" spans="1:46">
      <c r="D72" s="264" t="s">
        <v>184</v>
      </c>
      <c r="E72" s="264" t="s">
        <v>2</v>
      </c>
      <c r="G72" s="269">
        <v>1067</v>
      </c>
      <c r="H72" s="382" t="s">
        <v>605</v>
      </c>
      <c r="I72" s="380" t="str">
        <f t="shared" ref="I72:I108" si="1">IF(H72="",G72,G72&amp;"c")</f>
        <v>1067c</v>
      </c>
      <c r="J72" s="269">
        <v>88323.267368169996</v>
      </c>
      <c r="K72" s="269">
        <v>286020670.9084</v>
      </c>
      <c r="L72" s="269">
        <v>78835161.014809996</v>
      </c>
      <c r="M72" s="269">
        <v>17676617.454999998</v>
      </c>
      <c r="N72" s="269">
        <v>372494284.74417001</v>
      </c>
      <c r="O72" s="269">
        <v>715519</v>
      </c>
      <c r="P72" s="269">
        <v>182417796</v>
      </c>
      <c r="Q72" s="269">
        <v>839425</v>
      </c>
      <c r="R72" s="269">
        <v>2729617</v>
      </c>
      <c r="S72" s="269">
        <v>41722272315.340004</v>
      </c>
      <c r="T72" s="269">
        <v>47244590419</v>
      </c>
      <c r="U72" s="269">
        <v>317381380239.69</v>
      </c>
      <c r="V72" s="269">
        <v>32550134</v>
      </c>
      <c r="W72" s="269">
        <v>32708.185597329924</v>
      </c>
      <c r="X72" s="269">
        <v>2252532.1570713213</v>
      </c>
      <c r="Y72" s="269">
        <v>293287997.28073001</v>
      </c>
      <c r="Z72" s="269">
        <v>4230033</v>
      </c>
      <c r="AA72" s="269">
        <v>169274923.53665003</v>
      </c>
      <c r="AB72" s="269">
        <v>3739671</v>
      </c>
      <c r="AC72" s="269">
        <v>1214846</v>
      </c>
      <c r="AD72" s="269">
        <v>8987886</v>
      </c>
      <c r="AE72" s="269">
        <v>16279213</v>
      </c>
      <c r="AF72" s="269">
        <v>4978458.5594049999</v>
      </c>
      <c r="AG72" s="269">
        <v>253438.37501714999</v>
      </c>
      <c r="AH72" s="269">
        <v>17630866</v>
      </c>
      <c r="AI72" s="269">
        <v>124136</v>
      </c>
      <c r="AJ72" s="269">
        <v>1228389205639</v>
      </c>
      <c r="AK72" s="269">
        <v>2088887429.5571399</v>
      </c>
      <c r="AL72" s="269">
        <v>445347533</v>
      </c>
      <c r="AM72" s="269">
        <v>1209230.84449853</v>
      </c>
      <c r="AN72" s="269">
        <v>2216666</v>
      </c>
      <c r="AO72" s="269">
        <v>77547625</v>
      </c>
      <c r="AP72" s="269">
        <v>46000860</v>
      </c>
      <c r="AQ72" s="264">
        <v>714536.53154</v>
      </c>
      <c r="AR72" s="264">
        <v>231152489.86500001</v>
      </c>
      <c r="AS72" s="264">
        <v>8248997.5180799998</v>
      </c>
      <c r="AT72" s="264">
        <v>49568273.0233</v>
      </c>
    </row>
    <row r="73" spans="1:46">
      <c r="D73" s="264" t="s">
        <v>185</v>
      </c>
      <c r="E73" s="264" t="s">
        <v>5</v>
      </c>
      <c r="G73" s="269">
        <v>1068</v>
      </c>
      <c r="H73" s="382" t="s">
        <v>605</v>
      </c>
      <c r="I73" s="380" t="str">
        <f t="shared" si="1"/>
        <v>1068c</v>
      </c>
      <c r="J73" s="269">
        <v>553848.85989423003</v>
      </c>
      <c r="K73" s="269">
        <v>43843998.747439995</v>
      </c>
      <c r="L73" s="269">
        <v>16663601.325370001</v>
      </c>
      <c r="M73" s="269">
        <v>5374985.8269999996</v>
      </c>
      <c r="N73" s="269">
        <v>232290666.62252992</v>
      </c>
      <c r="O73" s="269">
        <v>20092301</v>
      </c>
      <c r="P73" s="269">
        <v>963656</v>
      </c>
      <c r="Q73" s="269">
        <v>204461</v>
      </c>
      <c r="R73" s="269">
        <v>1918104</v>
      </c>
      <c r="S73" s="269">
        <v>123023266653.27</v>
      </c>
      <c r="T73" s="269">
        <v>17625432585</v>
      </c>
      <c r="U73" s="269">
        <v>19078240110</v>
      </c>
      <c r="V73" s="269">
        <v>1670785</v>
      </c>
      <c r="W73" s="269">
        <v>1106.1097779799979</v>
      </c>
      <c r="X73" s="269">
        <v>2417619.0611450509</v>
      </c>
      <c r="Y73" s="269">
        <v>408924059.44678003</v>
      </c>
      <c r="Z73" s="269">
        <v>0</v>
      </c>
      <c r="AA73" s="269">
        <v>505000840.80550992</v>
      </c>
      <c r="AB73" s="269">
        <v>1959670</v>
      </c>
      <c r="AC73" s="269">
        <v>2587949</v>
      </c>
      <c r="AD73" s="269">
        <v>7029428</v>
      </c>
      <c r="AE73" s="269">
        <v>28792011</v>
      </c>
      <c r="AF73" s="269">
        <v>175851.76949499999</v>
      </c>
      <c r="AG73" s="269">
        <v>12.771832369999998</v>
      </c>
      <c r="AH73" s="269">
        <v>2945735</v>
      </c>
      <c r="AI73" s="269">
        <v>119019</v>
      </c>
      <c r="AJ73" s="269">
        <v>2050088099529</v>
      </c>
      <c r="AK73" s="269">
        <v>2540241849.8492002</v>
      </c>
      <c r="AL73" s="269">
        <v>75467064</v>
      </c>
      <c r="AM73" s="269">
        <v>3837521.9488239801</v>
      </c>
      <c r="AN73" s="269">
        <v>279492</v>
      </c>
      <c r="AO73" s="269">
        <v>161908025</v>
      </c>
      <c r="AP73" s="269">
        <v>45461075</v>
      </c>
      <c r="AQ73" s="264">
        <v>340247.67819193884</v>
      </c>
      <c r="AR73" s="264">
        <v>345955771.537</v>
      </c>
      <c r="AS73" s="264">
        <v>668095.24734</v>
      </c>
      <c r="AT73" s="264">
        <v>3144883.2443000004</v>
      </c>
    </row>
    <row r="74" spans="1:46">
      <c r="D74" s="264" t="s">
        <v>186</v>
      </c>
      <c r="E74" s="264" t="s">
        <v>9</v>
      </c>
      <c r="G74" s="269">
        <v>1069</v>
      </c>
      <c r="H74" s="382" t="s">
        <v>605</v>
      </c>
      <c r="I74" s="380" t="str">
        <f t="shared" si="1"/>
        <v>1069c</v>
      </c>
      <c r="J74" s="269">
        <v>259.51419536000003</v>
      </c>
      <c r="K74" s="269">
        <v>5490387.2715499988</v>
      </c>
      <c r="L74" s="269">
        <v>6231492.8285300005</v>
      </c>
      <c r="M74" s="269">
        <v>8140.232</v>
      </c>
      <c r="N74" s="269">
        <v>6798318.1527000004</v>
      </c>
      <c r="O74" s="269">
        <v>27183274</v>
      </c>
      <c r="P74" s="269">
        <v>1675</v>
      </c>
      <c r="Q74" s="269">
        <v>7034</v>
      </c>
      <c r="R74" s="269">
        <v>33265612</v>
      </c>
      <c r="S74" s="269">
        <v>16803778374.76</v>
      </c>
      <c r="T74" s="269">
        <v>340786588</v>
      </c>
      <c r="U74" s="269">
        <v>975723104.25</v>
      </c>
      <c r="V74" s="269">
        <v>715782</v>
      </c>
      <c r="W74" s="269">
        <v>2698.5773162000014</v>
      </c>
      <c r="X74" s="269">
        <v>850.2985717900001</v>
      </c>
      <c r="Y74" s="269">
        <v>546262.94400000002</v>
      </c>
      <c r="Z74" s="269">
        <v>0</v>
      </c>
      <c r="AA74" s="269">
        <v>5933981.6048299996</v>
      </c>
      <c r="AB74" s="269">
        <v>37413</v>
      </c>
      <c r="AC74" s="269">
        <v>2272</v>
      </c>
      <c r="AD74" s="269">
        <v>871711</v>
      </c>
      <c r="AE74" s="269">
        <v>17653855</v>
      </c>
      <c r="AF74" s="269">
        <v>8253.6493169999994</v>
      </c>
      <c r="AG74" s="269">
        <v>114.95581592000001</v>
      </c>
      <c r="AH74" s="269">
        <v>2524772</v>
      </c>
      <c r="AI74" s="269">
        <v>8013</v>
      </c>
      <c r="AJ74" s="269">
        <v>359368147676</v>
      </c>
      <c r="AK74" s="269">
        <v>27064625.277290002</v>
      </c>
      <c r="AL74" s="269">
        <v>1427338</v>
      </c>
      <c r="AM74" s="269">
        <v>1126.90597559</v>
      </c>
      <c r="AN74" s="269">
        <v>16747</v>
      </c>
      <c r="AO74" s="269">
        <v>24954782</v>
      </c>
      <c r="AP74" s="269">
        <v>2711294</v>
      </c>
      <c r="AQ74" s="264">
        <v>2480.2947469197502</v>
      </c>
      <c r="AR74" s="264">
        <v>236023</v>
      </c>
      <c r="AS74" s="264">
        <v>0</v>
      </c>
      <c r="AT74" s="264">
        <v>380481.51892</v>
      </c>
    </row>
    <row r="75" spans="1:46">
      <c r="D75" s="264" t="s">
        <v>187</v>
      </c>
      <c r="E75" s="264" t="s">
        <v>3</v>
      </c>
      <c r="G75" s="269">
        <v>1070</v>
      </c>
      <c r="H75" s="382" t="s">
        <v>605</v>
      </c>
      <c r="I75" s="380" t="str">
        <f t="shared" si="1"/>
        <v>1070c</v>
      </c>
      <c r="J75" s="269">
        <v>3098931.0792836002</v>
      </c>
      <c r="K75" s="269">
        <v>6724155328.7999001</v>
      </c>
      <c r="L75" s="269">
        <v>14224891836.063</v>
      </c>
      <c r="M75" s="269">
        <v>28639061.951000001</v>
      </c>
      <c r="N75" s="269">
        <v>44258255456.161507</v>
      </c>
      <c r="O75" s="269">
        <v>41767609</v>
      </c>
      <c r="P75" s="269">
        <v>12439481</v>
      </c>
      <c r="Q75" s="269">
        <v>16440313</v>
      </c>
      <c r="R75" s="269">
        <v>119103448</v>
      </c>
      <c r="S75" s="269">
        <v>2505125077254.5</v>
      </c>
      <c r="T75" s="269">
        <v>963675171647</v>
      </c>
      <c r="U75" s="269">
        <v>2454565864590</v>
      </c>
      <c r="V75" s="269">
        <v>824311454</v>
      </c>
      <c r="W75" s="269">
        <v>177514.47202399999</v>
      </c>
      <c r="X75" s="269">
        <v>222546000.98353401</v>
      </c>
      <c r="Y75" s="269">
        <v>16792216703.687</v>
      </c>
      <c r="Z75" s="269">
        <v>4110363</v>
      </c>
      <c r="AA75" s="269">
        <v>10036914076.166</v>
      </c>
      <c r="AB75" s="269">
        <v>224814885</v>
      </c>
      <c r="AC75" s="269">
        <v>13265003</v>
      </c>
      <c r="AD75" s="269">
        <v>447683298</v>
      </c>
      <c r="AE75" s="269">
        <v>184693908</v>
      </c>
      <c r="AF75" s="269">
        <v>9795242.9964039996</v>
      </c>
      <c r="AG75" s="269">
        <v>2707.9374445799999</v>
      </c>
      <c r="AH75" s="269">
        <v>164558002</v>
      </c>
      <c r="AI75" s="269">
        <v>3458623</v>
      </c>
      <c r="AJ75" s="269">
        <v>144228253934951</v>
      </c>
      <c r="AK75" s="269">
        <v>257068098728.58932</v>
      </c>
      <c r="AL75" s="269">
        <v>4155104454</v>
      </c>
      <c r="AM75" s="269">
        <v>205791352.50760099</v>
      </c>
      <c r="AN75" s="269">
        <v>19505193</v>
      </c>
      <c r="AO75" s="269">
        <v>5115455640</v>
      </c>
      <c r="AP75" s="269">
        <v>999560244</v>
      </c>
      <c r="AQ75" s="264">
        <v>13159546.72944456</v>
      </c>
      <c r="AR75" s="264">
        <v>3303055263.1329999</v>
      </c>
      <c r="AS75" s="264">
        <v>428428015.53200001</v>
      </c>
      <c r="AT75" s="264">
        <v>2520420994.777</v>
      </c>
    </row>
    <row r="76" spans="1:46">
      <c r="D76" s="264" t="s">
        <v>188</v>
      </c>
      <c r="E76" s="264" t="s">
        <v>23</v>
      </c>
      <c r="G76" s="269">
        <v>1071</v>
      </c>
      <c r="H76" s="382" t="s">
        <v>605</v>
      </c>
      <c r="I76" s="380" t="str">
        <f t="shared" si="1"/>
        <v>1071c</v>
      </c>
      <c r="J76" s="269">
        <v>61584.326226249999</v>
      </c>
      <c r="K76" s="269">
        <v>2533804238.50597</v>
      </c>
      <c r="L76" s="269">
        <v>155963789.23160002</v>
      </c>
      <c r="M76" s="269">
        <v>570099.28599999996</v>
      </c>
      <c r="N76" s="269">
        <v>249012141.33090988</v>
      </c>
      <c r="O76" s="269">
        <v>273308</v>
      </c>
      <c r="P76" s="269">
        <v>13222535</v>
      </c>
      <c r="Q76" s="269">
        <v>271687</v>
      </c>
      <c r="R76" s="269">
        <v>1426001</v>
      </c>
      <c r="S76" s="269">
        <v>36106029644.830002</v>
      </c>
      <c r="T76" s="269">
        <v>56734266592</v>
      </c>
      <c r="U76" s="269">
        <v>82846115557.460007</v>
      </c>
      <c r="V76" s="269">
        <v>6028885</v>
      </c>
      <c r="W76" s="269">
        <v>738264.76377513888</v>
      </c>
      <c r="X76" s="269">
        <v>2279774.9710808508</v>
      </c>
      <c r="Y76" s="269">
        <v>82365135.488689795</v>
      </c>
      <c r="Z76" s="269">
        <v>0</v>
      </c>
      <c r="AA76" s="269">
        <v>126627593.17791</v>
      </c>
      <c r="AB76" s="269">
        <v>1330996</v>
      </c>
      <c r="AC76" s="269">
        <v>239370</v>
      </c>
      <c r="AD76" s="269">
        <v>2597703</v>
      </c>
      <c r="AE76" s="269">
        <v>2208967</v>
      </c>
      <c r="AF76" s="269">
        <v>451174.25884700002</v>
      </c>
      <c r="AG76" s="269">
        <v>483.60871450000002</v>
      </c>
      <c r="AH76" s="269">
        <v>2558433</v>
      </c>
      <c r="AI76" s="269">
        <v>470902</v>
      </c>
      <c r="AJ76" s="269">
        <v>561404409059</v>
      </c>
      <c r="AK76" s="269">
        <v>1287993388.4247</v>
      </c>
      <c r="AL76" s="269">
        <v>22747546859</v>
      </c>
      <c r="AM76" s="269">
        <v>557754.59048217</v>
      </c>
      <c r="AN76" s="269">
        <v>17777832</v>
      </c>
      <c r="AO76" s="269">
        <v>27952573970</v>
      </c>
      <c r="AP76" s="269">
        <v>9896339908</v>
      </c>
      <c r="AQ76" s="264">
        <v>152754.68220016189</v>
      </c>
      <c r="AR76" s="264">
        <v>78181943.498999998</v>
      </c>
      <c r="AS76" s="264">
        <v>2441749.5785500002</v>
      </c>
      <c r="AT76" s="264">
        <v>15024954.9879</v>
      </c>
    </row>
    <row r="77" spans="1:46">
      <c r="D77" s="264" t="s">
        <v>189</v>
      </c>
      <c r="E77" s="264" t="s">
        <v>0</v>
      </c>
      <c r="G77" s="269">
        <v>1072</v>
      </c>
      <c r="H77" s="382" t="s">
        <v>605</v>
      </c>
      <c r="I77" s="380" t="str">
        <f t="shared" si="1"/>
        <v>1072c</v>
      </c>
      <c r="J77" s="269">
        <v>873467.30136962002</v>
      </c>
      <c r="K77" s="269">
        <v>8616563656.8923702</v>
      </c>
      <c r="L77" s="269">
        <v>3365969764.4223003</v>
      </c>
      <c r="M77" s="269">
        <v>88703024.169</v>
      </c>
      <c r="N77" s="269">
        <v>4893394010.5399446</v>
      </c>
      <c r="O77" s="269">
        <v>19299500</v>
      </c>
      <c r="P77" s="269">
        <v>499123462</v>
      </c>
      <c r="Q77" s="269">
        <v>9773721</v>
      </c>
      <c r="R77" s="269">
        <v>91402064</v>
      </c>
      <c r="S77" s="269">
        <v>403862586961.45001</v>
      </c>
      <c r="T77" s="269">
        <v>272622542068</v>
      </c>
      <c r="U77" s="269">
        <v>2124127499054.03</v>
      </c>
      <c r="V77" s="269">
        <v>221504108</v>
      </c>
      <c r="W77" s="269">
        <v>68281.626904409379</v>
      </c>
      <c r="X77" s="269">
        <v>14911215.672013404</v>
      </c>
      <c r="Y77" s="269">
        <v>4580453552.9310703</v>
      </c>
      <c r="Z77" s="269">
        <v>22170514</v>
      </c>
      <c r="AA77" s="269">
        <v>1923102287.0223</v>
      </c>
      <c r="AB77" s="269">
        <v>9535628</v>
      </c>
      <c r="AC77" s="269">
        <v>9665716</v>
      </c>
      <c r="AD77" s="269">
        <v>19061771</v>
      </c>
      <c r="AE77" s="269">
        <v>32440340</v>
      </c>
      <c r="AF77" s="269">
        <v>30678034.233211</v>
      </c>
      <c r="AG77" s="269">
        <v>63631.562022230006</v>
      </c>
      <c r="AH77" s="269">
        <v>22173303</v>
      </c>
      <c r="AI77" s="269">
        <v>6186954</v>
      </c>
      <c r="AJ77" s="269">
        <v>13508739465353</v>
      </c>
      <c r="AK77" s="269">
        <v>18329081116.234268</v>
      </c>
      <c r="AL77" s="269">
        <v>9951972958</v>
      </c>
      <c r="AM77" s="269">
        <v>11393900.241434311</v>
      </c>
      <c r="AN77" s="269">
        <v>27205658</v>
      </c>
      <c r="AO77" s="269">
        <v>1812729959</v>
      </c>
      <c r="AP77" s="269">
        <v>1725005993</v>
      </c>
      <c r="AQ77" s="264">
        <v>8771430.8087019995</v>
      </c>
      <c r="AR77" s="264">
        <v>2883710262.6595397</v>
      </c>
      <c r="AS77" s="264">
        <v>88838414.115439996</v>
      </c>
      <c r="AT77" s="264">
        <v>1016979241.58331</v>
      </c>
    </row>
    <row r="78" spans="1:46" ht="12.75" customHeight="1">
      <c r="B78" s="264" t="s">
        <v>367</v>
      </c>
      <c r="C78" s="264" t="s">
        <v>606</v>
      </c>
      <c r="D78" s="264" t="s">
        <v>178</v>
      </c>
      <c r="E78" s="264" t="s">
        <v>6</v>
      </c>
      <c r="G78" s="269">
        <v>1061</v>
      </c>
      <c r="I78" s="380">
        <f t="shared" si="1"/>
        <v>1061</v>
      </c>
      <c r="J78" s="269">
        <v>12754.100871920595</v>
      </c>
      <c r="K78" s="269">
        <v>192646124.67500862</v>
      </c>
      <c r="L78" s="269">
        <v>14532829.851102818</v>
      </c>
      <c r="M78" s="269">
        <v>163897.28034509718</v>
      </c>
      <c r="N78" s="269">
        <v>88948474.195348978</v>
      </c>
      <c r="O78" s="269">
        <v>194053.57801687799</v>
      </c>
      <c r="P78" s="269">
        <v>2729039.0946792499</v>
      </c>
      <c r="Q78" s="269">
        <v>39160.812522349996</v>
      </c>
      <c r="R78" s="269">
        <v>60547.709961549997</v>
      </c>
      <c r="S78" s="269">
        <v>8543719863.2906322</v>
      </c>
      <c r="T78" s="269">
        <v>4893658042.8627434</v>
      </c>
      <c r="U78" s="269">
        <v>14159571595.876047</v>
      </c>
      <c r="V78" s="269">
        <v>1856436.5457094999</v>
      </c>
      <c r="W78" s="269">
        <v>2587.1981031939767</v>
      </c>
      <c r="X78" s="269">
        <v>689850.46500458231</v>
      </c>
      <c r="Y78" s="269">
        <v>61602979.114889078</v>
      </c>
      <c r="Z78" s="269">
        <v>0</v>
      </c>
      <c r="AA78" s="269">
        <v>41865028.287670121</v>
      </c>
      <c r="AB78" s="269">
        <v>399339.25476257497</v>
      </c>
      <c r="AC78" s="269">
        <v>237721.18497065001</v>
      </c>
      <c r="AD78" s="269">
        <v>748697.77642296511</v>
      </c>
      <c r="AE78" s="269">
        <v>1737509.534373258</v>
      </c>
      <c r="AF78" s="269">
        <v>84866.780013132826</v>
      </c>
      <c r="AG78" s="269">
        <v>33.662973029461</v>
      </c>
      <c r="AH78" s="269">
        <v>603134.07363039511</v>
      </c>
      <c r="AI78" s="269">
        <v>26093.484611726341</v>
      </c>
      <c r="AJ78" s="269">
        <v>202471479398.91537</v>
      </c>
      <c r="AK78" s="269">
        <v>484148665.15000141</v>
      </c>
      <c r="AL78" s="269">
        <v>104403254.89064573</v>
      </c>
      <c r="AM78" s="269">
        <v>214326.51488859387</v>
      </c>
      <c r="AN78" s="269">
        <v>76841.485302674992</v>
      </c>
      <c r="AO78" s="269">
        <v>202864517.60731664</v>
      </c>
      <c r="AP78" s="269">
        <v>49684887.219069272</v>
      </c>
      <c r="AQ78" s="264">
        <v>29020.805071501087</v>
      </c>
      <c r="AR78" s="264">
        <v>15019127.868460307</v>
      </c>
      <c r="AS78" s="264">
        <v>1503742.2139145911</v>
      </c>
      <c r="AT78" s="264">
        <v>2711331.9175876924</v>
      </c>
    </row>
    <row r="79" spans="1:46">
      <c r="D79" s="264" t="s">
        <v>179</v>
      </c>
      <c r="E79" s="264" t="s">
        <v>10</v>
      </c>
      <c r="G79" s="269">
        <v>1062</v>
      </c>
      <c r="I79" s="380">
        <f t="shared" si="1"/>
        <v>1062</v>
      </c>
      <c r="J79" s="269">
        <v>0</v>
      </c>
      <c r="K79" s="269">
        <v>1455722.6869541788</v>
      </c>
      <c r="L79" s="269">
        <v>3.8491718760000002</v>
      </c>
      <c r="M79" s="269">
        <v>98.711371231374002</v>
      </c>
      <c r="N79" s="269">
        <v>9793.5763098360003</v>
      </c>
      <c r="O79" s="269">
        <v>47883.851427135996</v>
      </c>
      <c r="P79" s="269">
        <v>0</v>
      </c>
      <c r="Q79" s="269">
        <v>6.4152864600000008</v>
      </c>
      <c r="R79" s="269">
        <v>249289.691963202</v>
      </c>
      <c r="S79" s="269">
        <v>387248644.62815404</v>
      </c>
      <c r="T79" s="269">
        <v>0</v>
      </c>
      <c r="U79" s="269">
        <v>0</v>
      </c>
      <c r="V79" s="269">
        <v>0</v>
      </c>
      <c r="W79" s="269">
        <v>0</v>
      </c>
      <c r="X79" s="269">
        <v>0.96229296900000005</v>
      </c>
      <c r="Y79" s="269">
        <v>0</v>
      </c>
      <c r="Z79" s="269">
        <v>0</v>
      </c>
      <c r="AA79" s="269">
        <v>5310304.8139651231</v>
      </c>
      <c r="AB79" s="269">
        <v>0</v>
      </c>
      <c r="AC79" s="269">
        <v>85510.636282632011</v>
      </c>
      <c r="AD79" s="269">
        <v>5397.8595053949994</v>
      </c>
      <c r="AE79" s="269">
        <v>258129.21403588</v>
      </c>
      <c r="AF79" s="269">
        <v>0</v>
      </c>
      <c r="AG79" s="269">
        <v>0</v>
      </c>
      <c r="AH79" s="269">
        <v>16.802876675</v>
      </c>
      <c r="AI79" s="269">
        <v>91.649041850926096</v>
      </c>
      <c r="AJ79" s="269">
        <v>168545996407.09946</v>
      </c>
      <c r="AK79" s="269">
        <v>6.4152864600000012E-2</v>
      </c>
      <c r="AL79" s="269">
        <v>0</v>
      </c>
      <c r="AM79" s="269">
        <v>0.32076432300000002</v>
      </c>
      <c r="AN79" s="269">
        <v>11.868279951</v>
      </c>
      <c r="AO79" s="269">
        <v>2117342.331955032</v>
      </c>
      <c r="AP79" s="269">
        <v>318815.22372464003</v>
      </c>
      <c r="AQ79" s="264">
        <v>311904.78914188698</v>
      </c>
      <c r="AR79" s="264">
        <v>30.472610685000003</v>
      </c>
      <c r="AS79" s="264">
        <v>0</v>
      </c>
      <c r="AT79" s="264">
        <v>0</v>
      </c>
    </row>
    <row r="80" spans="1:46">
      <c r="D80" s="264" t="s">
        <v>180</v>
      </c>
      <c r="E80" s="264" t="s">
        <v>7</v>
      </c>
      <c r="G80" s="269">
        <v>1063</v>
      </c>
      <c r="I80" s="380">
        <f t="shared" si="1"/>
        <v>1063</v>
      </c>
      <c r="J80" s="269">
        <v>8360.7879259871734</v>
      </c>
      <c r="K80" s="269">
        <v>228592578.46607316</v>
      </c>
      <c r="L80" s="269">
        <v>11754252.26384053</v>
      </c>
      <c r="M80" s="269">
        <v>224517.83308775988</v>
      </c>
      <c r="N80" s="269">
        <v>48658597.116636537</v>
      </c>
      <c r="O80" s="269">
        <v>199413.44893602</v>
      </c>
      <c r="P80" s="269">
        <v>23643102.493890021</v>
      </c>
      <c r="Q80" s="269">
        <v>91946.423293703992</v>
      </c>
      <c r="R80" s="269">
        <v>78924.53686408799</v>
      </c>
      <c r="S80" s="269">
        <v>3531581746.9332075</v>
      </c>
      <c r="T80" s="269">
        <v>51680712911.061592</v>
      </c>
      <c r="U80" s="269">
        <v>22221776608.393223</v>
      </c>
      <c r="V80" s="269">
        <v>3616351.7961165598</v>
      </c>
      <c r="W80" s="269">
        <v>3631.0859876479676</v>
      </c>
      <c r="X80" s="269">
        <v>240031.90894565225</v>
      </c>
      <c r="Y80" s="269">
        <v>18521130.198146708</v>
      </c>
      <c r="Z80" s="269">
        <v>40501</v>
      </c>
      <c r="AA80" s="269">
        <v>34734960.196450174</v>
      </c>
      <c r="AB80" s="269">
        <v>276032.45471333998</v>
      </c>
      <c r="AC80" s="269">
        <v>296642.47752121196</v>
      </c>
      <c r="AD80" s="269">
        <v>938078.83731532306</v>
      </c>
      <c r="AE80" s="269">
        <v>990224.43981065392</v>
      </c>
      <c r="AF80" s="269">
        <v>106416.34669121895</v>
      </c>
      <c r="AG80" s="269">
        <v>19.754143602312041</v>
      </c>
      <c r="AH80" s="269">
        <v>381173.87987574504</v>
      </c>
      <c r="AI80" s="269">
        <v>15057.941376959781</v>
      </c>
      <c r="AJ80" s="269">
        <v>191387305030.81482</v>
      </c>
      <c r="AK80" s="269">
        <v>476911076.45528936</v>
      </c>
      <c r="AL80" s="269">
        <v>680356790.12190199</v>
      </c>
      <c r="AM80" s="269">
        <v>275903.34949907946</v>
      </c>
      <c r="AN80" s="269">
        <v>127864.46681787599</v>
      </c>
      <c r="AO80" s="269">
        <v>250832571.78173614</v>
      </c>
      <c r="AP80" s="269">
        <v>68149591.032770619</v>
      </c>
      <c r="AQ80" s="264">
        <v>47666.402517560447</v>
      </c>
      <c r="AR80" s="264">
        <v>53455316.672498219</v>
      </c>
      <c r="AS80" s="264">
        <v>4208102.1880312441</v>
      </c>
      <c r="AT80" s="264">
        <v>6364317.5661939625</v>
      </c>
    </row>
    <row r="81" spans="1:46">
      <c r="D81" s="264" t="s">
        <v>181</v>
      </c>
      <c r="E81" s="264" t="s">
        <v>8</v>
      </c>
      <c r="G81" s="269">
        <v>1064</v>
      </c>
      <c r="I81" s="380">
        <f t="shared" si="1"/>
        <v>1064</v>
      </c>
      <c r="J81" s="269">
        <v>25275.599900022899</v>
      </c>
      <c r="K81" s="269">
        <v>158883398.61474407</v>
      </c>
      <c r="L81" s="269">
        <v>28985436.937647179</v>
      </c>
      <c r="M81" s="269">
        <v>1761454.058190881</v>
      </c>
      <c r="N81" s="269">
        <v>185180735.0839625</v>
      </c>
      <c r="O81" s="269">
        <v>70594.058337473994</v>
      </c>
      <c r="P81" s="269">
        <v>35949676.722598143</v>
      </c>
      <c r="Q81" s="269">
        <v>127752.910388028</v>
      </c>
      <c r="R81" s="269">
        <v>68296.973973326996</v>
      </c>
      <c r="S81" s="269">
        <v>55040006891.288933</v>
      </c>
      <c r="T81" s="269">
        <v>59636159594.470528</v>
      </c>
      <c r="U81" s="269">
        <v>37928007952.783104</v>
      </c>
      <c r="V81" s="269">
        <v>6667530.4724284261</v>
      </c>
      <c r="W81" s="269">
        <v>21256.576470430635</v>
      </c>
      <c r="X81" s="269">
        <v>1332124.4141286791</v>
      </c>
      <c r="Y81" s="269">
        <v>177342238.24327937</v>
      </c>
      <c r="Z81" s="269">
        <v>432.12900000000008</v>
      </c>
      <c r="AA81" s="269">
        <v>37871010.046090879</v>
      </c>
      <c r="AB81" s="269">
        <v>450340.45356015902</v>
      </c>
      <c r="AC81" s="269">
        <v>169524.301661946</v>
      </c>
      <c r="AD81" s="269">
        <v>1058717.1373347</v>
      </c>
      <c r="AE81" s="269">
        <v>1639599.878803015</v>
      </c>
      <c r="AF81" s="269">
        <v>46904.380922888136</v>
      </c>
      <c r="AG81" s="269">
        <v>3.5104212009193785</v>
      </c>
      <c r="AH81" s="269">
        <v>373249.51314067998</v>
      </c>
      <c r="AI81" s="269">
        <v>461579.81394583028</v>
      </c>
      <c r="AJ81" s="269">
        <v>178931376505.05304</v>
      </c>
      <c r="AK81" s="269">
        <v>733287955.66172087</v>
      </c>
      <c r="AL81" s="269">
        <v>826305233.67177188</v>
      </c>
      <c r="AM81" s="269">
        <v>239583.21165883902</v>
      </c>
      <c r="AN81" s="269">
        <v>576252.37307641504</v>
      </c>
      <c r="AO81" s="269">
        <v>426352438.14733183</v>
      </c>
      <c r="AP81" s="269">
        <v>97081684.770619467</v>
      </c>
      <c r="AQ81" s="264">
        <v>136635.05208660453</v>
      </c>
      <c r="AR81" s="264">
        <v>36143307.964034647</v>
      </c>
      <c r="AS81" s="264">
        <v>975128.30234209856</v>
      </c>
      <c r="AT81" s="264">
        <v>10820659.718072437</v>
      </c>
    </row>
    <row r="82" spans="1:46">
      <c r="D82" s="264" t="s">
        <v>182</v>
      </c>
      <c r="E82" s="264" t="s">
        <v>4</v>
      </c>
      <c r="G82" s="269">
        <v>1065</v>
      </c>
      <c r="I82" s="380">
        <f t="shared" si="1"/>
        <v>1065</v>
      </c>
      <c r="J82" s="269">
        <v>58278.162490764618</v>
      </c>
      <c r="K82" s="269">
        <v>1998956.1634944242</v>
      </c>
      <c r="L82" s="269">
        <v>1686220.6391723647</v>
      </c>
      <c r="M82" s="269">
        <v>24428.744050104127</v>
      </c>
      <c r="N82" s="269">
        <v>106928576.85696445</v>
      </c>
      <c r="O82" s="269">
        <v>5119412.0576925045</v>
      </c>
      <c r="P82" s="269">
        <v>320685.17025060998</v>
      </c>
      <c r="Q82" s="269">
        <v>133029.09988488999</v>
      </c>
      <c r="R82" s="269">
        <v>280366.93903041998</v>
      </c>
      <c r="S82" s="269">
        <v>274427455.83334494</v>
      </c>
      <c r="T82" s="269">
        <v>171774301.04408234</v>
      </c>
      <c r="U82" s="269">
        <v>3524045615.9021235</v>
      </c>
      <c r="V82" s="269">
        <v>1897.15142397</v>
      </c>
      <c r="W82" s="269">
        <v>638.3058788993095</v>
      </c>
      <c r="X82" s="269">
        <v>268.16506175283803</v>
      </c>
      <c r="Y82" s="269">
        <v>125735.67128879171</v>
      </c>
      <c r="Z82" s="269">
        <v>0</v>
      </c>
      <c r="AA82" s="269">
        <v>7457185.6627503168</v>
      </c>
      <c r="AB82" s="269">
        <v>137193.99653398999</v>
      </c>
      <c r="AC82" s="269">
        <v>73265.831500069995</v>
      </c>
      <c r="AD82" s="269">
        <v>554050.48909300496</v>
      </c>
      <c r="AE82" s="269">
        <v>2557429.7990512964</v>
      </c>
      <c r="AF82" s="269">
        <v>3281.3289839361114</v>
      </c>
      <c r="AG82" s="269">
        <v>0</v>
      </c>
      <c r="AH82" s="269">
        <v>428947.83551280003</v>
      </c>
      <c r="AI82" s="269">
        <v>6.8370224767113923</v>
      </c>
      <c r="AJ82" s="269">
        <v>258315324586.85831</v>
      </c>
      <c r="AK82" s="269">
        <v>792750366.40965092</v>
      </c>
      <c r="AL82" s="269">
        <v>10865874.70734074</v>
      </c>
      <c r="AM82" s="269">
        <v>333821.73434123019</v>
      </c>
      <c r="AN82" s="269">
        <v>8687.6586464800002</v>
      </c>
      <c r="AO82" s="269">
        <v>374496957.11318219</v>
      </c>
      <c r="AP82" s="269">
        <v>89882746.236608058</v>
      </c>
      <c r="AQ82" s="264">
        <v>4994.4260608234945</v>
      </c>
      <c r="AR82" s="264">
        <v>43955262.185667686</v>
      </c>
      <c r="AS82" s="264">
        <v>0</v>
      </c>
      <c r="AT82" s="264">
        <v>36963.383277283137</v>
      </c>
    </row>
    <row r="83" spans="1:46">
      <c r="D83" s="264" t="s">
        <v>183</v>
      </c>
      <c r="E83" s="264" t="s">
        <v>1</v>
      </c>
      <c r="G83" s="269">
        <v>1066</v>
      </c>
      <c r="I83" s="380">
        <f t="shared" si="1"/>
        <v>1066</v>
      </c>
      <c r="J83" s="269">
        <v>4069313.7073921002</v>
      </c>
      <c r="K83" s="269">
        <v>6733425554.6064949</v>
      </c>
      <c r="L83" s="269">
        <v>7349432169.1701689</v>
      </c>
      <c r="M83" s="269">
        <v>629457388.98199999</v>
      </c>
      <c r="N83" s="269">
        <v>4743165223.2924461</v>
      </c>
      <c r="O83" s="269">
        <v>2344191.39</v>
      </c>
      <c r="P83" s="269">
        <v>1407115134</v>
      </c>
      <c r="Q83" s="269">
        <v>19503026</v>
      </c>
      <c r="R83" s="269">
        <v>60855397</v>
      </c>
      <c r="S83" s="269">
        <v>4229050553681.0981</v>
      </c>
      <c r="T83" s="269">
        <v>2763922763109.7402</v>
      </c>
      <c r="U83" s="269">
        <v>2359871000000</v>
      </c>
      <c r="V83" s="269">
        <v>484162203</v>
      </c>
      <c r="W83" s="269">
        <v>1107277.9984614791</v>
      </c>
      <c r="X83" s="269">
        <v>14062117.113900289</v>
      </c>
      <c r="Y83" s="269">
        <v>4645883148.26999</v>
      </c>
      <c r="Z83" s="269">
        <v>597852749</v>
      </c>
      <c r="AA83" s="269">
        <v>1961097403.8610301</v>
      </c>
      <c r="AB83" s="269">
        <v>5664765</v>
      </c>
      <c r="AC83" s="269">
        <v>3280897</v>
      </c>
      <c r="AD83" s="269">
        <v>4316072.0817200001</v>
      </c>
      <c r="AE83" s="269">
        <v>16720973.946</v>
      </c>
      <c r="AF83" s="269">
        <v>4237212.9197927732</v>
      </c>
      <c r="AG83" s="269">
        <v>25573.308714619729</v>
      </c>
      <c r="AH83" s="269">
        <v>4960331.2469199998</v>
      </c>
      <c r="AI83" s="269">
        <v>1535780</v>
      </c>
      <c r="AJ83" s="269">
        <v>13647584352486</v>
      </c>
      <c r="AK83" s="269">
        <v>22292766649.33086</v>
      </c>
      <c r="AL83" s="269">
        <v>4735667783.5279999</v>
      </c>
      <c r="AM83" s="269">
        <v>9588634.9740687888</v>
      </c>
      <c r="AN83" s="269">
        <v>2838531</v>
      </c>
      <c r="AO83" s="269">
        <v>10351666675.709499</v>
      </c>
      <c r="AP83" s="269">
        <v>6767164831.9709997</v>
      </c>
      <c r="AQ83" s="264">
        <v>4878379.6049158499</v>
      </c>
      <c r="AR83" s="264">
        <v>2121395102.3483901</v>
      </c>
      <c r="AS83" s="264">
        <v>857621807.44064999</v>
      </c>
      <c r="AT83" s="264">
        <v>1820746120.82181</v>
      </c>
    </row>
    <row r="84" spans="1:46">
      <c r="D84" s="264" t="s">
        <v>184</v>
      </c>
      <c r="E84" s="264" t="s">
        <v>2</v>
      </c>
      <c r="G84" s="269">
        <v>1067</v>
      </c>
      <c r="I84" s="380">
        <f t="shared" si="1"/>
        <v>1067</v>
      </c>
      <c r="J84" s="269">
        <v>109614.50396488215</v>
      </c>
      <c r="K84" s="269">
        <v>2966015361.2572498</v>
      </c>
      <c r="L84" s="269">
        <v>97839191.496489346</v>
      </c>
      <c r="M84" s="269">
        <v>21937748.81572238</v>
      </c>
      <c r="N84" s="269">
        <v>462287882.55517358</v>
      </c>
      <c r="O84" s="269">
        <v>1178933.1195512849</v>
      </c>
      <c r="P84" s="269">
        <v>226391491.37855724</v>
      </c>
      <c r="Q84" s="269">
        <v>1041777.0733862249</v>
      </c>
      <c r="R84" s="269">
        <v>3387619.393900929</v>
      </c>
      <c r="S84" s="269">
        <v>51779857340.081635</v>
      </c>
      <c r="T84" s="269">
        <v>58633387306.831108</v>
      </c>
      <c r="U84" s="269">
        <v>393889442717.7948</v>
      </c>
      <c r="V84" s="269">
        <v>40396680.271435156</v>
      </c>
      <c r="W84" s="269">
        <v>302605.84759962076</v>
      </c>
      <c r="X84" s="269">
        <v>2795528.3179582707</v>
      </c>
      <c r="Y84" s="269">
        <v>363988100.74327785</v>
      </c>
      <c r="Z84" s="269">
        <v>5249726.1805011211</v>
      </c>
      <c r="AA84" s="269">
        <v>210080393.65004411</v>
      </c>
      <c r="AB84" s="269">
        <v>4641157.351529127</v>
      </c>
      <c r="AC84" s="269">
        <v>1507697.186163102</v>
      </c>
      <c r="AD84" s="269">
        <v>8987886</v>
      </c>
      <c r="AE84" s="269">
        <v>26822632.754587695</v>
      </c>
      <c r="AF84" s="269">
        <v>4978458.5594049999</v>
      </c>
      <c r="AG84" s="269">
        <v>253438.37501714999</v>
      </c>
      <c r="AH84" s="269">
        <v>17630866</v>
      </c>
      <c r="AI84" s="269">
        <v>153957.58402579685</v>
      </c>
      <c r="AJ84" s="269">
        <v>1524505121517.4995</v>
      </c>
      <c r="AK84" s="269">
        <v>2592435337.2812476</v>
      </c>
      <c r="AL84" s="269">
        <v>5030513384.8334913</v>
      </c>
      <c r="AM84" s="269">
        <v>1500728.4393841403</v>
      </c>
      <c r="AN84" s="269">
        <v>2751016.2529764418</v>
      </c>
      <c r="AO84" s="269">
        <v>875954926.47435021</v>
      </c>
      <c r="AP84" s="269">
        <v>519612044.07042611</v>
      </c>
      <c r="AQ84" s="264">
        <v>886782.94863184355</v>
      </c>
      <c r="AR84" s="264">
        <v>286874186.97024596</v>
      </c>
      <c r="AS84" s="264">
        <v>10237503.639700528</v>
      </c>
      <c r="AT84" s="264">
        <v>61517217.622804701</v>
      </c>
    </row>
    <row r="85" spans="1:46">
      <c r="D85" s="264" t="s">
        <v>185</v>
      </c>
      <c r="E85" s="264" t="s">
        <v>5</v>
      </c>
      <c r="G85" s="269">
        <v>1068</v>
      </c>
      <c r="I85" s="380">
        <f t="shared" si="1"/>
        <v>1068</v>
      </c>
      <c r="J85" s="269">
        <v>53845.620376423205</v>
      </c>
      <c r="K85" s="269">
        <v>35632775.888626829</v>
      </c>
      <c r="L85" s="269">
        <v>1620048.3851159106</v>
      </c>
      <c r="M85" s="269">
        <v>522560.33608982834</v>
      </c>
      <c r="N85" s="269">
        <v>22583480.724924993</v>
      </c>
      <c r="O85" s="269">
        <v>2590903.6204110701</v>
      </c>
      <c r="P85" s="269">
        <v>93687.39182630401</v>
      </c>
      <c r="Q85" s="269">
        <v>19877.858717424002</v>
      </c>
      <c r="R85" s="269">
        <v>186479.574673536</v>
      </c>
      <c r="S85" s="269">
        <v>11960418434.271967</v>
      </c>
      <c r="T85" s="269">
        <v>1713558374.2528467</v>
      </c>
      <c r="U85" s="269">
        <v>1854801460.8344464</v>
      </c>
      <c r="V85" s="269">
        <v>162435.02759544001</v>
      </c>
      <c r="W85" s="269">
        <v>801.62989301559389</v>
      </c>
      <c r="X85" s="269">
        <v>235042.8205378658</v>
      </c>
      <c r="Y85" s="269">
        <v>39755917.655878559</v>
      </c>
      <c r="Z85" s="269">
        <v>0</v>
      </c>
      <c r="AA85" s="269">
        <v>49096577.663770869</v>
      </c>
      <c r="AB85" s="269">
        <v>190520.65378128001</v>
      </c>
      <c r="AC85" s="269">
        <v>251602.43073201602</v>
      </c>
      <c r="AD85" s="269">
        <v>550534.798083956</v>
      </c>
      <c r="AE85" s="269">
        <v>3712731.8338907701</v>
      </c>
      <c r="AF85" s="269">
        <v>13772.460349780407</v>
      </c>
      <c r="AG85" s="269">
        <v>1.0002717369009373</v>
      </c>
      <c r="AH85" s="269">
        <v>230705.773419095</v>
      </c>
      <c r="AI85" s="269">
        <v>11544.706772460084</v>
      </c>
      <c r="AJ85" s="269">
        <v>199311172305.27942</v>
      </c>
      <c r="AK85" s="269">
        <v>246964304.19194955</v>
      </c>
      <c r="AL85" s="269">
        <v>66793558.565547742</v>
      </c>
      <c r="AM85" s="269">
        <v>373086.89248187526</v>
      </c>
      <c r="AN85" s="269">
        <v>27172.431361728002</v>
      </c>
      <c r="AO85" s="269">
        <v>143299773.13109291</v>
      </c>
      <c r="AP85" s="269">
        <v>40236188.007330701</v>
      </c>
      <c r="AQ85" s="264">
        <v>33079.146027999996</v>
      </c>
      <c r="AR85" s="264">
        <v>33634091.338152029</v>
      </c>
      <c r="AS85" s="264">
        <v>64952.743733068717</v>
      </c>
      <c r="AT85" s="264">
        <v>305748.01459930959</v>
      </c>
    </row>
    <row r="86" spans="1:46">
      <c r="D86" s="264" t="s">
        <v>186</v>
      </c>
      <c r="E86" s="264" t="s">
        <v>9</v>
      </c>
      <c r="G86" s="269">
        <v>1069</v>
      </c>
      <c r="I86" s="380">
        <f t="shared" si="1"/>
        <v>1069</v>
      </c>
      <c r="J86" s="269">
        <v>3.206193818480461</v>
      </c>
      <c r="K86" s="269">
        <v>566847.85791501566</v>
      </c>
      <c r="L86" s="269">
        <v>76987.59506786392</v>
      </c>
      <c r="M86" s="269">
        <v>100.56930212696801</v>
      </c>
      <c r="N86" s="269">
        <v>83990.494651029279</v>
      </c>
      <c r="O86" s="269">
        <v>445604.23835638596</v>
      </c>
      <c r="P86" s="269">
        <v>20.693953325000003</v>
      </c>
      <c r="Q86" s="269">
        <v>86.902249366000007</v>
      </c>
      <c r="R86" s="269">
        <v>410983.29674958804</v>
      </c>
      <c r="S86" s="269">
        <v>207603943.50503153</v>
      </c>
      <c r="T86" s="269">
        <v>4210281.6393182119</v>
      </c>
      <c r="U86" s="269">
        <v>12054667.688043946</v>
      </c>
      <c r="V86" s="269">
        <v>8843.1995814180009</v>
      </c>
      <c r="W86" s="269">
        <v>248.53322555091393</v>
      </c>
      <c r="X86" s="269">
        <v>10.505097884738165</v>
      </c>
      <c r="Y86" s="269">
        <v>6748.8596216794567</v>
      </c>
      <c r="Z86" s="269">
        <v>0</v>
      </c>
      <c r="AA86" s="269">
        <v>73311.963201051112</v>
      </c>
      <c r="AB86" s="269">
        <v>462.22261238700003</v>
      </c>
      <c r="AC86" s="269">
        <v>28.069648928000003</v>
      </c>
      <c r="AD86" s="269">
        <v>8676.083793496</v>
      </c>
      <c r="AE86" s="269">
        <v>289392.389280595</v>
      </c>
      <c r="AF86" s="269">
        <v>82.148043418544717</v>
      </c>
      <c r="AG86" s="269">
        <v>1.1441478786795414</v>
      </c>
      <c r="AH86" s="269">
        <v>25128.894130592002</v>
      </c>
      <c r="AI86" s="269">
        <v>98.816130225675181</v>
      </c>
      <c r="AJ86" s="269">
        <v>4439849357.9097624</v>
      </c>
      <c r="AK86" s="269">
        <v>334372.59238618182</v>
      </c>
      <c r="AL86" s="269">
        <v>160529.40199986799</v>
      </c>
      <c r="AM86" s="269">
        <v>13.92247143911824</v>
      </c>
      <c r="AN86" s="269">
        <v>206.90246945300001</v>
      </c>
      <c r="AO86" s="269">
        <v>2806606.5861744517</v>
      </c>
      <c r="AP86" s="269">
        <v>304932.962245684</v>
      </c>
      <c r="AQ86" s="264">
        <v>30.643046999999999</v>
      </c>
      <c r="AR86" s="264">
        <v>2915.9695197770002</v>
      </c>
      <c r="AS86" s="264">
        <v>0</v>
      </c>
      <c r="AT86" s="264">
        <v>4700.6965931675131</v>
      </c>
    </row>
    <row r="87" spans="1:46">
      <c r="D87" s="264" t="s">
        <v>187</v>
      </c>
      <c r="E87" s="264" t="s">
        <v>3</v>
      </c>
      <c r="G87" s="269">
        <v>1070</v>
      </c>
      <c r="I87" s="380">
        <f t="shared" si="1"/>
        <v>1070</v>
      </c>
      <c r="J87" s="269">
        <v>22098.207919367454</v>
      </c>
      <c r="K87" s="269">
        <v>400434531.23801589</v>
      </c>
      <c r="L87" s="269">
        <v>101436466.11737551</v>
      </c>
      <c r="M87" s="269">
        <v>204222.65917419127</v>
      </c>
      <c r="N87" s="269">
        <v>315601769.18966299</v>
      </c>
      <c r="O87" s="269">
        <v>395795.37620838801</v>
      </c>
      <c r="P87" s="269">
        <v>88704.856776152999</v>
      </c>
      <c r="Q87" s="269">
        <v>117234.441695769</v>
      </c>
      <c r="R87" s="269">
        <v>849316.32568802405</v>
      </c>
      <c r="S87" s="269">
        <v>17863828980.020119</v>
      </c>
      <c r="T87" s="269">
        <v>6871883809.2748241</v>
      </c>
      <c r="U87" s="269">
        <v>17503295633.161072</v>
      </c>
      <c r="V87" s="269">
        <v>5878093.2633775016</v>
      </c>
      <c r="W87" s="269">
        <v>9436.6817588088797</v>
      </c>
      <c r="X87" s="269">
        <v>1586956.1715114955</v>
      </c>
      <c r="Y87" s="269">
        <v>119743836.39113878</v>
      </c>
      <c r="Z87" s="269">
        <v>29310.640951419002</v>
      </c>
      <c r="AA87" s="269">
        <v>71572361.065615118</v>
      </c>
      <c r="AB87" s="269">
        <v>1603135.3860400049</v>
      </c>
      <c r="AC87" s="269">
        <v>94591.582337739004</v>
      </c>
      <c r="AD87" s="269">
        <v>2573350.3017154019</v>
      </c>
      <c r="AE87" s="269">
        <v>1750183.851803856</v>
      </c>
      <c r="AF87" s="269">
        <v>56304.516234536655</v>
      </c>
      <c r="AG87" s="269">
        <v>15.565627914125082</v>
      </c>
      <c r="AH87" s="269">
        <v>945903.91463829798</v>
      </c>
      <c r="AI87" s="269">
        <v>24663.332701054103</v>
      </c>
      <c r="AJ87" s="269">
        <v>1028479130952.0432</v>
      </c>
      <c r="AK87" s="269">
        <v>1833130247.1089811</v>
      </c>
      <c r="AL87" s="269">
        <v>269568405.57918602</v>
      </c>
      <c r="AM87" s="269">
        <v>1467480.2308840344</v>
      </c>
      <c r="AN87" s="269">
        <v>139089.83433120901</v>
      </c>
      <c r="AO87" s="269">
        <v>331872576.47839981</v>
      </c>
      <c r="AP87" s="269">
        <v>64847915.194052584</v>
      </c>
      <c r="AQ87" s="264">
        <v>93839.582847103695</v>
      </c>
      <c r="AR87" s="264">
        <v>23553799.715593528</v>
      </c>
      <c r="AS87" s="264">
        <v>3055082.9055213407</v>
      </c>
      <c r="AT87" s="264">
        <v>17972902.837128241</v>
      </c>
    </row>
    <row r="88" spans="1:46">
      <c r="D88" s="264" t="s">
        <v>188</v>
      </c>
      <c r="E88" s="264" t="s">
        <v>23</v>
      </c>
      <c r="G88" s="269">
        <v>1071</v>
      </c>
      <c r="I88" s="380">
        <f t="shared" si="1"/>
        <v>1071</v>
      </c>
      <c r="J88" s="269">
        <v>6771.1638441303085</v>
      </c>
      <c r="K88" s="269">
        <v>2326843668.2755389</v>
      </c>
      <c r="L88" s="269">
        <v>17148135.497314762</v>
      </c>
      <c r="M88" s="269">
        <v>62682.112632780554</v>
      </c>
      <c r="N88" s="269">
        <v>27378752.215862211</v>
      </c>
      <c r="O88" s="269">
        <v>39943.303067948</v>
      </c>
      <c r="P88" s="269">
        <v>1453810.675638845</v>
      </c>
      <c r="Q88" s="269">
        <v>29871.840840828998</v>
      </c>
      <c r="R88" s="269">
        <v>156788.049891467</v>
      </c>
      <c r="S88" s="269">
        <v>3969838714.9352579</v>
      </c>
      <c r="T88" s="269">
        <v>6237902372.4263058</v>
      </c>
      <c r="U88" s="269">
        <v>9108886248.5631351</v>
      </c>
      <c r="V88" s="269">
        <v>662872.69235429494</v>
      </c>
      <c r="W88" s="269">
        <v>605132.38112386432</v>
      </c>
      <c r="X88" s="269">
        <v>250660.04295027995</v>
      </c>
      <c r="Y88" s="269">
        <v>9056002.7463642266</v>
      </c>
      <c r="Z88" s="269">
        <v>0</v>
      </c>
      <c r="AA88" s="269">
        <v>13922636.37740404</v>
      </c>
      <c r="AB88" s="269">
        <v>146342.300779132</v>
      </c>
      <c r="AC88" s="269">
        <v>26318.603915789998</v>
      </c>
      <c r="AD88" s="269">
        <v>230321.039894238</v>
      </c>
      <c r="AE88" s="269">
        <v>322835.18355882698</v>
      </c>
      <c r="AF88" s="269">
        <v>40002.619418445123</v>
      </c>
      <c r="AG88" s="269">
        <v>42.878366782328719</v>
      </c>
      <c r="AH88" s="269">
        <v>226839.23029681802</v>
      </c>
      <c r="AI88" s="269">
        <v>51765.675842054348</v>
      </c>
      <c r="AJ88" s="269">
        <v>61726115547.487022</v>
      </c>
      <c r="AK88" s="269">
        <v>141614186.55681974</v>
      </c>
      <c r="AL88" s="269">
        <v>22747546859</v>
      </c>
      <c r="AM88" s="269">
        <v>61324.819940317859</v>
      </c>
      <c r="AN88" s="269">
        <v>1954663.1528155438</v>
      </c>
      <c r="AO88" s="269">
        <v>27952573970</v>
      </c>
      <c r="AP88" s="269">
        <v>9896339908</v>
      </c>
      <c r="AQ88" s="264">
        <v>16795.295889662186</v>
      </c>
      <c r="AR88" s="264">
        <v>8596063.0167391635</v>
      </c>
      <c r="AS88" s="264">
        <v>268469.06470904715</v>
      </c>
      <c r="AT88" s="264">
        <v>1651985.7926185965</v>
      </c>
    </row>
    <row r="89" spans="1:46">
      <c r="D89" s="264" t="s">
        <v>189</v>
      </c>
      <c r="E89" s="264" t="s">
        <v>0</v>
      </c>
      <c r="G89" s="269">
        <v>1072</v>
      </c>
      <c r="I89" s="380">
        <f t="shared" si="1"/>
        <v>1072</v>
      </c>
      <c r="J89" s="269">
        <v>658542.41760162706</v>
      </c>
      <c r="K89" s="269">
        <v>54306583185.773155</v>
      </c>
      <c r="L89" s="269">
        <v>2537741095.4719195</v>
      </c>
      <c r="M89" s="269">
        <v>66876806.828639157</v>
      </c>
      <c r="N89" s="269">
        <v>3689328171.673192</v>
      </c>
      <c r="O89" s="269">
        <v>19299500</v>
      </c>
      <c r="P89" s="269">
        <v>376309417.45818412</v>
      </c>
      <c r="Q89" s="269">
        <v>7368804.5862865504</v>
      </c>
      <c r="R89" s="269">
        <v>68911722.403295204</v>
      </c>
      <c r="S89" s="269">
        <v>304488380938.13849</v>
      </c>
      <c r="T89" s="269">
        <v>205541189309.14606</v>
      </c>
      <c r="U89" s="269">
        <v>1601465854906.9199</v>
      </c>
      <c r="V89" s="269">
        <v>167000929.01277941</v>
      </c>
      <c r="W89" s="269">
        <v>383758.10670539743</v>
      </c>
      <c r="X89" s="269">
        <v>11242170.144926406</v>
      </c>
      <c r="Y89" s="269">
        <v>3453389670.9463053</v>
      </c>
      <c r="Z89" s="269">
        <v>16715249.518942701</v>
      </c>
      <c r="AA89" s="269">
        <v>1449904795.9838507</v>
      </c>
      <c r="AB89" s="269">
        <v>7189296.6189154005</v>
      </c>
      <c r="AC89" s="269">
        <v>7287375.2371838</v>
      </c>
      <c r="AD89" s="269">
        <v>11577326.16387327</v>
      </c>
      <c r="AE89" s="269">
        <v>32440340</v>
      </c>
      <c r="AF89" s="269">
        <v>18632560.866687234</v>
      </c>
      <c r="AG89" s="269">
        <v>38647.161790375525</v>
      </c>
      <c r="AH89" s="269">
        <v>13467141.167596111</v>
      </c>
      <c r="AI89" s="269">
        <v>4653944.6366782011</v>
      </c>
      <c r="AJ89" s="269">
        <v>10184786462314.947</v>
      </c>
      <c r="AK89" s="269">
        <v>13819037497.768278</v>
      </c>
      <c r="AL89" s="269">
        <v>68306475992.457947</v>
      </c>
      <c r="AM89" s="269">
        <v>8590323.4146721177</v>
      </c>
      <c r="AN89" s="269">
        <v>20511448.755631901</v>
      </c>
      <c r="AO89" s="269">
        <v>12441874183.923279</v>
      </c>
      <c r="AP89" s="269">
        <v>11839770962.49869</v>
      </c>
      <c r="AQ89" s="264">
        <v>6613137.3681997303</v>
      </c>
      <c r="AR89" s="264">
        <v>2174146101.4701781</v>
      </c>
      <c r="AS89" s="264">
        <v>66978882.799322598</v>
      </c>
      <c r="AT89" s="264">
        <v>766741888.73790371</v>
      </c>
    </row>
    <row r="90" spans="1:46">
      <c r="D90" s="264" t="s">
        <v>607</v>
      </c>
      <c r="G90" s="269">
        <v>1073</v>
      </c>
      <c r="I90" s="380">
        <f t="shared" si="1"/>
        <v>1073</v>
      </c>
      <c r="J90" s="269">
        <v>5024857.4784810441</v>
      </c>
      <c r="K90" s="269">
        <v>67353078705.503273</v>
      </c>
      <c r="L90" s="269">
        <v>10162252837.274385</v>
      </c>
      <c r="M90" s="269">
        <v>721235906.93060541</v>
      </c>
      <c r="N90" s="269">
        <v>9690155446.9751358</v>
      </c>
      <c r="O90" s="269">
        <v>31926228.042005088</v>
      </c>
      <c r="P90" s="269">
        <v>2074094769.9363542</v>
      </c>
      <c r="Q90" s="269">
        <v>28472574.364551596</v>
      </c>
      <c r="R90" s="269">
        <v>135495731.89599133</v>
      </c>
      <c r="S90" s="269">
        <v>4687097466634.0244</v>
      </c>
      <c r="T90" s="269">
        <v>3159307199412.7495</v>
      </c>
      <c r="U90" s="269">
        <v>4461538737407.916</v>
      </c>
      <c r="V90" s="269">
        <v>710414272.43280172</v>
      </c>
      <c r="W90" s="269">
        <v>2437374.3452079091</v>
      </c>
      <c r="X90" s="269">
        <v>32434761.032316126</v>
      </c>
      <c r="Y90" s="269">
        <v>8889415508.8401814</v>
      </c>
      <c r="Z90" s="269">
        <v>619887968.46939516</v>
      </c>
      <c r="AA90" s="269">
        <v>3882985969.5718422</v>
      </c>
      <c r="AB90" s="269">
        <v>20698585.693227395</v>
      </c>
      <c r="AC90" s="269">
        <v>13311174.541917887</v>
      </c>
      <c r="AD90" s="269">
        <v>31549108.568751752</v>
      </c>
      <c r="AE90" s="269">
        <v>89241982.825195849</v>
      </c>
      <c r="AF90" s="269">
        <v>28199862.926542364</v>
      </c>
      <c r="AG90" s="269">
        <v>317776.36147428997</v>
      </c>
      <c r="AH90" s="269">
        <v>39273438.332037203</v>
      </c>
      <c r="AI90" s="269">
        <v>6934584.4781486355</v>
      </c>
      <c r="AJ90" s="269">
        <v>27650483686409.906</v>
      </c>
      <c r="AK90" s="269">
        <v>43413380658.571335</v>
      </c>
      <c r="AL90" s="269">
        <v>102778657666.75783</v>
      </c>
      <c r="AM90" s="269">
        <v>22645227.82505478</v>
      </c>
      <c r="AN90" s="269">
        <v>29011786.181709673</v>
      </c>
      <c r="AO90" s="269">
        <v>53356712539.284317</v>
      </c>
      <c r="AP90" s="269">
        <v>29433394507.186539</v>
      </c>
      <c r="AQ90" s="264">
        <v>13052266.064437566</v>
      </c>
      <c r="AR90" s="264">
        <v>4796775305.9920902</v>
      </c>
      <c r="AS90" s="264">
        <v>944913671.29792452</v>
      </c>
      <c r="AT90" s="264">
        <v>2688873837.1085892</v>
      </c>
    </row>
    <row r="91" spans="1:46">
      <c r="B91" s="264" t="s">
        <v>368</v>
      </c>
      <c r="D91" s="264" t="s">
        <v>608</v>
      </c>
      <c r="G91" s="269">
        <v>1074</v>
      </c>
      <c r="I91" s="380">
        <f t="shared" si="1"/>
        <v>1074</v>
      </c>
      <c r="J91" s="269">
        <v>223867.77491767</v>
      </c>
      <c r="K91" s="269">
        <v>1407000000</v>
      </c>
      <c r="L91" s="269">
        <v>444164582</v>
      </c>
      <c r="M91" s="269">
        <v>171273129</v>
      </c>
      <c r="N91" s="269">
        <v>265045344</v>
      </c>
      <c r="O91" s="269">
        <v>913390.12195742002</v>
      </c>
      <c r="P91" s="269">
        <v>75880649</v>
      </c>
      <c r="Q91" s="269">
        <v>76320</v>
      </c>
      <c r="R91" s="269">
        <v>2203825.6888694898</v>
      </c>
      <c r="S91" s="269">
        <v>634806987991.07007</v>
      </c>
      <c r="T91" s="269">
        <v>130600000000</v>
      </c>
      <c r="U91" s="269">
        <v>225641502973.92999</v>
      </c>
      <c r="V91" s="269">
        <v>69023761</v>
      </c>
      <c r="W91" s="269">
        <v>647820</v>
      </c>
      <c r="X91" s="269">
        <v>74300</v>
      </c>
      <c r="Y91" s="269">
        <v>289553547.47082001</v>
      </c>
      <c r="Z91" s="269">
        <v>152462486</v>
      </c>
      <c r="AA91" s="269">
        <v>231073836</v>
      </c>
      <c r="AB91" s="269">
        <v>163305</v>
      </c>
      <c r="AC91" s="269">
        <v>211</v>
      </c>
      <c r="AD91" s="269">
        <v>130843.63785528536</v>
      </c>
      <c r="AE91" s="269">
        <v>6369200</v>
      </c>
      <c r="AF91" s="269">
        <v>10397</v>
      </c>
      <c r="AG91" s="269">
        <v>0</v>
      </c>
      <c r="AH91" s="269">
        <v>109862</v>
      </c>
      <c r="AI91" s="269">
        <v>190871</v>
      </c>
      <c r="AJ91" s="269">
        <v>3854000000000</v>
      </c>
      <c r="AK91" s="269">
        <v>4554000000</v>
      </c>
      <c r="AL91" s="269">
        <v>1593000000</v>
      </c>
      <c r="AM91" s="269">
        <v>2353000</v>
      </c>
      <c r="AN91" s="269">
        <v>614800</v>
      </c>
      <c r="AO91" s="269">
        <v>6763000000</v>
      </c>
      <c r="AP91" s="269">
        <v>1385872107</v>
      </c>
      <c r="AQ91" s="264">
        <v>943103.88758771843</v>
      </c>
      <c r="AR91" s="264">
        <v>635711607</v>
      </c>
      <c r="AS91" s="264">
        <v>41593000</v>
      </c>
      <c r="AT91" s="264">
        <v>97896360.588489994</v>
      </c>
    </row>
    <row r="92" spans="1:46" ht="12.75" customHeight="1">
      <c r="B92" s="264" t="s">
        <v>369</v>
      </c>
      <c r="D92" s="264" t="s">
        <v>120</v>
      </c>
      <c r="G92" s="269">
        <v>1075</v>
      </c>
      <c r="I92" s="380">
        <f t="shared" si="1"/>
        <v>1075</v>
      </c>
      <c r="J92" s="269">
        <v>0</v>
      </c>
      <c r="K92" s="269">
        <v>2790100</v>
      </c>
      <c r="L92" s="269">
        <v>0</v>
      </c>
      <c r="M92" s="269">
        <v>46353.566800000001</v>
      </c>
      <c r="N92" s="269">
        <v>2305743.7999999998</v>
      </c>
      <c r="O92" s="269">
        <v>1437.21</v>
      </c>
      <c r="P92" s="269">
        <v>0</v>
      </c>
      <c r="Q92" s="269">
        <v>2276</v>
      </c>
      <c r="R92" s="269">
        <v>41000</v>
      </c>
      <c r="S92" s="269">
        <v>0</v>
      </c>
      <c r="T92" s="269">
        <v>0</v>
      </c>
      <c r="U92" s="269">
        <v>19893077.539999999</v>
      </c>
      <c r="V92" s="269">
        <v>0</v>
      </c>
      <c r="W92" s="269">
        <v>3381.6831999999999</v>
      </c>
      <c r="X92" s="269">
        <v>1342.54537821448</v>
      </c>
      <c r="Y92" s="269">
        <v>258000</v>
      </c>
      <c r="Z92" s="269">
        <v>0</v>
      </c>
      <c r="AA92" s="269">
        <v>895968.09499999997</v>
      </c>
      <c r="AB92" s="269">
        <v>1827</v>
      </c>
      <c r="AC92" s="269">
        <v>377</v>
      </c>
      <c r="AD92" s="269">
        <v>24933.585034013609</v>
      </c>
      <c r="AE92" s="269">
        <v>6947</v>
      </c>
      <c r="AF92" s="269">
        <v>0</v>
      </c>
      <c r="AG92" s="269">
        <v>0</v>
      </c>
      <c r="AH92" s="269">
        <v>805</v>
      </c>
      <c r="AI92" s="269">
        <v>0</v>
      </c>
      <c r="AJ92" s="269">
        <v>5095545167.5975504</v>
      </c>
      <c r="AK92" s="269">
        <v>4375143.4931784999</v>
      </c>
      <c r="AL92" s="269">
        <v>2228691</v>
      </c>
      <c r="AM92" s="269">
        <v>1573.4124042500619</v>
      </c>
      <c r="AN92" s="269">
        <v>4</v>
      </c>
      <c r="AO92" s="269">
        <v>30660394.395073753</v>
      </c>
      <c r="AP92" s="269">
        <v>310836</v>
      </c>
      <c r="AQ92" s="264">
        <v>2563.0863196441223</v>
      </c>
      <c r="AR92" s="264">
        <v>1139800</v>
      </c>
      <c r="AS92" s="264">
        <v>0</v>
      </c>
      <c r="AT92" s="264">
        <v>31159.814999999999</v>
      </c>
    </row>
    <row r="93" spans="1:46">
      <c r="D93" s="264" t="s">
        <v>121</v>
      </c>
      <c r="G93" s="269">
        <v>1076</v>
      </c>
      <c r="I93" s="380">
        <f t="shared" si="1"/>
        <v>1076</v>
      </c>
      <c r="J93" s="269">
        <v>0</v>
      </c>
      <c r="K93" s="269">
        <v>146229302</v>
      </c>
      <c r="L93" s="269">
        <v>26707138.421</v>
      </c>
      <c r="M93" s="269">
        <v>2615955.4870869606</v>
      </c>
      <c r="N93" s="269">
        <v>69627335</v>
      </c>
      <c r="O93" s="269">
        <v>47381</v>
      </c>
      <c r="P93" s="269">
        <v>9380537</v>
      </c>
      <c r="Q93" s="269">
        <v>33597</v>
      </c>
      <c r="R93" s="269">
        <v>239100</v>
      </c>
      <c r="S93" s="269">
        <v>20478410000</v>
      </c>
      <c r="T93" s="269">
        <v>4577361333</v>
      </c>
      <c r="U93" s="269">
        <v>21887337000</v>
      </c>
      <c r="V93" s="269">
        <v>6886080</v>
      </c>
      <c r="W93" s="269">
        <v>161159.29580015937</v>
      </c>
      <c r="X93" s="269">
        <v>35003.800000000003</v>
      </c>
      <c r="Y93" s="269">
        <v>2195460</v>
      </c>
      <c r="Z93" s="269">
        <v>0</v>
      </c>
      <c r="AA93" s="269">
        <v>4691677.8613333302</v>
      </c>
      <c r="AB93" s="269">
        <v>23042</v>
      </c>
      <c r="AC93" s="269">
        <v>108712</v>
      </c>
      <c r="AD93" s="269">
        <v>234529</v>
      </c>
      <c r="AE93" s="269">
        <v>423700</v>
      </c>
      <c r="AF93" s="269">
        <v>20707</v>
      </c>
      <c r="AG93" s="269">
        <v>0</v>
      </c>
      <c r="AH93" s="269">
        <v>95156</v>
      </c>
      <c r="AI93" s="269">
        <v>0</v>
      </c>
      <c r="AJ93" s="269">
        <v>89411000000</v>
      </c>
      <c r="AK93" s="269">
        <v>157213026.33220664</v>
      </c>
      <c r="AL93" s="269">
        <v>2845000</v>
      </c>
      <c r="AM93" s="269">
        <v>65139.420146610661</v>
      </c>
      <c r="AN93" s="269">
        <v>53971</v>
      </c>
      <c r="AO93" s="269">
        <v>140116519.84900001</v>
      </c>
      <c r="AP93" s="269">
        <v>268024</v>
      </c>
      <c r="AQ93" s="264">
        <v>27030.497548987812</v>
      </c>
      <c r="AR93" s="264">
        <v>30295000</v>
      </c>
      <c r="AS93" s="264">
        <v>815367.41572000005</v>
      </c>
      <c r="AT93" s="264">
        <v>72000</v>
      </c>
    </row>
    <row r="94" spans="1:46">
      <c r="D94" s="264" t="s">
        <v>609</v>
      </c>
      <c r="G94" s="269">
        <v>1077</v>
      </c>
      <c r="I94" s="380">
        <f t="shared" si="1"/>
        <v>1077</v>
      </c>
      <c r="J94" s="269">
        <v>0</v>
      </c>
      <c r="K94" s="269">
        <v>149019402</v>
      </c>
      <c r="L94" s="269">
        <v>26707138.421</v>
      </c>
      <c r="M94" s="269">
        <v>2662309.0538869607</v>
      </c>
      <c r="N94" s="269">
        <v>71933078.799999997</v>
      </c>
      <c r="O94" s="269">
        <v>48818.21</v>
      </c>
      <c r="P94" s="269">
        <v>9380537</v>
      </c>
      <c r="Q94" s="269">
        <v>35873</v>
      </c>
      <c r="R94" s="269">
        <v>280100</v>
      </c>
      <c r="S94" s="269">
        <v>20478410000</v>
      </c>
      <c r="T94" s="269">
        <v>4577361333</v>
      </c>
      <c r="U94" s="269">
        <v>21907230077.540001</v>
      </c>
      <c r="V94" s="269">
        <v>6886080</v>
      </c>
      <c r="W94" s="269">
        <v>164540.97900015936</v>
      </c>
      <c r="X94" s="269">
        <v>36346.345378214486</v>
      </c>
      <c r="Y94" s="269">
        <v>2453460</v>
      </c>
      <c r="Z94" s="269">
        <v>0</v>
      </c>
      <c r="AA94" s="269">
        <v>5587645.9563333299</v>
      </c>
      <c r="AB94" s="269">
        <v>24869</v>
      </c>
      <c r="AC94" s="269">
        <v>109089</v>
      </c>
      <c r="AD94" s="269">
        <v>259462.58503401361</v>
      </c>
      <c r="AE94" s="269">
        <v>430647</v>
      </c>
      <c r="AF94" s="269">
        <v>20707</v>
      </c>
      <c r="AG94" s="269">
        <v>0</v>
      </c>
      <c r="AH94" s="269">
        <v>95961</v>
      </c>
      <c r="AI94" s="269">
        <v>0</v>
      </c>
      <c r="AJ94" s="269">
        <v>94506545167.597549</v>
      </c>
      <c r="AK94" s="269">
        <v>161588169.82538512</v>
      </c>
      <c r="AL94" s="269">
        <v>5073691</v>
      </c>
      <c r="AM94" s="269">
        <v>66712.832550860723</v>
      </c>
      <c r="AN94" s="269">
        <v>53975</v>
      </c>
      <c r="AO94" s="269">
        <v>170776914.24407375</v>
      </c>
      <c r="AP94" s="269">
        <v>578860</v>
      </c>
      <c r="AQ94" s="264">
        <v>29593.583868631933</v>
      </c>
      <c r="AR94" s="264">
        <v>31434800</v>
      </c>
      <c r="AS94" s="264">
        <v>815367.41572000005</v>
      </c>
      <c r="AT94" s="264">
        <v>103159.815</v>
      </c>
    </row>
    <row r="95" spans="1:46">
      <c r="A95" s="263" t="s">
        <v>124</v>
      </c>
      <c r="B95" s="264" t="s">
        <v>370</v>
      </c>
      <c r="D95" s="264" t="s">
        <v>125</v>
      </c>
      <c r="G95" s="269">
        <v>1078</v>
      </c>
      <c r="I95" s="380">
        <f t="shared" si="1"/>
        <v>1078</v>
      </c>
      <c r="J95" s="269">
        <v>67430.103930813595</v>
      </c>
      <c r="K95" s="269">
        <v>6833291.3599220077</v>
      </c>
      <c r="L95" s="269">
        <v>153902716</v>
      </c>
      <c r="M95" s="269">
        <v>27701135.643075678</v>
      </c>
      <c r="N95" s="269">
        <v>124113658</v>
      </c>
      <c r="O95" s="269">
        <v>1111560</v>
      </c>
      <c r="P95" s="269">
        <v>503661317</v>
      </c>
      <c r="Q95" s="269">
        <v>2776345.0400319998</v>
      </c>
      <c r="R95" s="269">
        <v>22101841.995757539</v>
      </c>
      <c r="S95" s="269">
        <v>240820143864</v>
      </c>
      <c r="T95" s="269">
        <v>209206276579</v>
      </c>
      <c r="U95" s="269">
        <v>422564911543.20001</v>
      </c>
      <c r="V95" s="269">
        <v>94103295</v>
      </c>
      <c r="W95" s="269">
        <v>29221189</v>
      </c>
      <c r="X95" s="269">
        <v>3501136.5723330001</v>
      </c>
      <c r="Y95" s="269">
        <v>37064.491999999998</v>
      </c>
      <c r="Z95" s="269">
        <v>0</v>
      </c>
      <c r="AA95" s="269">
        <v>585213000</v>
      </c>
      <c r="AB95" s="269">
        <v>1824940</v>
      </c>
      <c r="AC95" s="269">
        <v>1487596.777457</v>
      </c>
      <c r="AD95" s="269">
        <v>15547152</v>
      </c>
      <c r="AE95" s="269">
        <v>15183683</v>
      </c>
      <c r="AF95" s="269">
        <v>5767709</v>
      </c>
      <c r="AG95" s="269">
        <v>565.40566997000008</v>
      </c>
      <c r="AH95" s="269">
        <v>18473979</v>
      </c>
      <c r="AI95" s="269">
        <v>16422.291399999998</v>
      </c>
      <c r="AJ95" s="269">
        <v>9620236463238</v>
      </c>
      <c r="AK95" s="269">
        <v>18523270757.980011</v>
      </c>
      <c r="AL95" s="269">
        <v>716067075</v>
      </c>
      <c r="AM95" s="269">
        <v>5046872.8124654396</v>
      </c>
      <c r="AN95" s="269">
        <v>3705039</v>
      </c>
      <c r="AO95" s="269">
        <v>7042209113.518137</v>
      </c>
      <c r="AP95" s="269">
        <v>3407121000</v>
      </c>
      <c r="AQ95" s="264">
        <v>1741606</v>
      </c>
      <c r="AR95" s="264">
        <v>460986938.87501699</v>
      </c>
      <c r="AS95" s="264">
        <v>96958377.041999996</v>
      </c>
      <c r="AT95" s="264">
        <v>168893683.581</v>
      </c>
    </row>
    <row r="96" spans="1:46">
      <c r="D96" s="264" t="s">
        <v>126</v>
      </c>
      <c r="G96" s="269">
        <v>1079</v>
      </c>
      <c r="I96" s="380">
        <f t="shared" si="1"/>
        <v>1079</v>
      </c>
      <c r="J96" s="269">
        <v>395566.53684179403</v>
      </c>
      <c r="K96" s="269">
        <v>7359719335.3671131</v>
      </c>
      <c r="L96" s="269">
        <v>2278423383</v>
      </c>
      <c r="M96" s="269">
        <v>172608970.60846868</v>
      </c>
      <c r="N96" s="269">
        <v>2374837824</v>
      </c>
      <c r="O96" s="269">
        <v>6033456</v>
      </c>
      <c r="P96" s="269">
        <v>1047351948</v>
      </c>
      <c r="Q96" s="269">
        <v>2232944.3971290002</v>
      </c>
      <c r="R96" s="269">
        <v>25169318.203830242</v>
      </c>
      <c r="S96" s="269">
        <v>616015111416.07007</v>
      </c>
      <c r="T96" s="269">
        <v>347244837779</v>
      </c>
      <c r="U96" s="269">
        <v>717907625456.52637</v>
      </c>
      <c r="V96" s="269">
        <v>224828994</v>
      </c>
      <c r="W96" s="269">
        <v>17573252</v>
      </c>
      <c r="X96" s="269">
        <v>7236791</v>
      </c>
      <c r="Y96" s="269">
        <v>611176030.32990897</v>
      </c>
      <c r="Z96" s="269">
        <v>60329492.696000002</v>
      </c>
      <c r="AA96" s="269">
        <v>512193000</v>
      </c>
      <c r="AB96" s="269">
        <v>1723101</v>
      </c>
      <c r="AC96" s="269">
        <v>1151292.0485429999</v>
      </c>
      <c r="AD96" s="269">
        <v>14236260</v>
      </c>
      <c r="AE96" s="269">
        <v>12104671</v>
      </c>
      <c r="AF96" s="269">
        <v>1503764</v>
      </c>
      <c r="AG96" s="269">
        <v>133126.43792537399</v>
      </c>
      <c r="AH96" s="269">
        <v>11299021</v>
      </c>
      <c r="AI96" s="269">
        <v>211066.70860000001</v>
      </c>
      <c r="AJ96" s="269">
        <v>8907562134944</v>
      </c>
      <c r="AK96" s="269">
        <v>16705467846.013924</v>
      </c>
      <c r="AL96" s="269">
        <v>5650126598</v>
      </c>
      <c r="AM96" s="269">
        <v>7971756.3612687597</v>
      </c>
      <c r="AN96" s="269">
        <v>2670050</v>
      </c>
      <c r="AO96" s="269">
        <v>6507852420.9762516</v>
      </c>
      <c r="AP96" s="269">
        <v>5248996562</v>
      </c>
      <c r="AQ96" s="264">
        <v>2375748</v>
      </c>
      <c r="AR96" s="264">
        <v>1317454235.7948322</v>
      </c>
      <c r="AS96" s="264">
        <v>306211860.39099997</v>
      </c>
      <c r="AT96" s="264">
        <v>285763842.99923635</v>
      </c>
    </row>
    <row r="97" spans="1:46">
      <c r="D97" s="264" t="s">
        <v>166</v>
      </c>
      <c r="G97" s="269">
        <v>1080</v>
      </c>
      <c r="I97" s="380">
        <f t="shared" si="1"/>
        <v>1080</v>
      </c>
      <c r="J97" s="269">
        <v>462996.64077260764</v>
      </c>
      <c r="K97" s="269">
        <v>7366552626.7270355</v>
      </c>
      <c r="L97" s="269">
        <v>2432326099</v>
      </c>
      <c r="M97" s="269">
        <v>200310106.25154436</v>
      </c>
      <c r="N97" s="269">
        <v>2498951482</v>
      </c>
      <c r="O97" s="269">
        <v>7145016</v>
      </c>
      <c r="P97" s="269">
        <v>1551013265</v>
      </c>
      <c r="Q97" s="269">
        <v>5009289.4371610004</v>
      </c>
      <c r="R97" s="269">
        <v>47271160.199587777</v>
      </c>
      <c r="S97" s="269">
        <v>856835255280.07007</v>
      </c>
      <c r="T97" s="269">
        <v>556451114358</v>
      </c>
      <c r="U97" s="269">
        <v>1140472536999.7263</v>
      </c>
      <c r="V97" s="269">
        <v>318932289</v>
      </c>
      <c r="W97" s="269">
        <v>46794441</v>
      </c>
      <c r="X97" s="269">
        <v>10737927.572333001</v>
      </c>
      <c r="Y97" s="269">
        <v>611213094.82190895</v>
      </c>
      <c r="Z97" s="269">
        <v>60329492.696000002</v>
      </c>
      <c r="AA97" s="269">
        <v>1097406000</v>
      </c>
      <c r="AB97" s="269">
        <v>3548041</v>
      </c>
      <c r="AC97" s="269">
        <v>2638888.8259999999</v>
      </c>
      <c r="AD97" s="269">
        <v>29783412</v>
      </c>
      <c r="AE97" s="269">
        <v>27288354</v>
      </c>
      <c r="AF97" s="269">
        <v>7271473</v>
      </c>
      <c r="AG97" s="269">
        <v>133691.84359534399</v>
      </c>
      <c r="AH97" s="269">
        <v>29773000</v>
      </c>
      <c r="AI97" s="269">
        <v>227489</v>
      </c>
      <c r="AJ97" s="269">
        <v>18527798598182</v>
      </c>
      <c r="AK97" s="269">
        <v>35228738603.993935</v>
      </c>
      <c r="AL97" s="269">
        <v>6366193673</v>
      </c>
      <c r="AM97" s="269">
        <v>13018629.173734199</v>
      </c>
      <c r="AN97" s="269">
        <v>6375089</v>
      </c>
      <c r="AO97" s="269">
        <v>13550061534.494389</v>
      </c>
      <c r="AP97" s="269">
        <v>8656117562</v>
      </c>
      <c r="AQ97" s="264">
        <v>4117354</v>
      </c>
      <c r="AR97" s="264">
        <v>1778441174.6698492</v>
      </c>
      <c r="AS97" s="264">
        <v>403170237.43299997</v>
      </c>
      <c r="AT97" s="264">
        <v>454657526.58023632</v>
      </c>
    </row>
    <row r="98" spans="1:46">
      <c r="B98" s="264" t="s">
        <v>371</v>
      </c>
      <c r="D98" s="264" t="s">
        <v>130</v>
      </c>
      <c r="G98" s="269">
        <v>1081</v>
      </c>
      <c r="I98" s="380">
        <f t="shared" si="1"/>
        <v>1081</v>
      </c>
      <c r="J98" s="269">
        <v>4663.400944</v>
      </c>
      <c r="K98" s="269">
        <v>197474291.17299998</v>
      </c>
      <c r="L98" s="269">
        <v>17660082</v>
      </c>
      <c r="M98" s="269">
        <v>6113548</v>
      </c>
      <c r="N98" s="269">
        <v>26768332</v>
      </c>
      <c r="O98" s="269">
        <v>24148.404999999999</v>
      </c>
      <c r="P98" s="269">
        <v>3017233</v>
      </c>
      <c r="Q98" s="269">
        <v>44375</v>
      </c>
      <c r="R98" s="269">
        <v>170770.24883673998</v>
      </c>
      <c r="S98" s="269">
        <v>23884941440</v>
      </c>
      <c r="T98" s="269">
        <v>19387756982.310001</v>
      </c>
      <c r="U98" s="269">
        <v>22421596268.279999</v>
      </c>
      <c r="V98" s="269">
        <v>4700872</v>
      </c>
      <c r="W98" s="269">
        <v>484191</v>
      </c>
      <c r="X98" s="269">
        <v>139911.712</v>
      </c>
      <c r="Y98" s="269">
        <v>10380140.616441939</v>
      </c>
      <c r="Z98" s="269">
        <v>9326912</v>
      </c>
      <c r="AA98" s="269">
        <v>8196160</v>
      </c>
      <c r="AB98" s="269">
        <v>38777</v>
      </c>
      <c r="AC98" s="269">
        <v>4279</v>
      </c>
      <c r="AD98" s="269">
        <v>110575.13604198999</v>
      </c>
      <c r="AE98" s="269">
        <v>237904</v>
      </c>
      <c r="AF98" s="269">
        <v>11769</v>
      </c>
      <c r="AG98" s="269">
        <v>0</v>
      </c>
      <c r="AH98" s="269">
        <v>57205</v>
      </c>
      <c r="AI98" s="269">
        <v>3642</v>
      </c>
      <c r="AJ98" s="269">
        <v>157890359020</v>
      </c>
      <c r="AK98" s="269">
        <v>159263868.89399999</v>
      </c>
      <c r="AL98" s="269">
        <v>170239983</v>
      </c>
      <c r="AM98" s="269">
        <v>52438.320652471077</v>
      </c>
      <c r="AN98" s="269">
        <v>56240</v>
      </c>
      <c r="AO98" s="269">
        <v>298299822</v>
      </c>
      <c r="AP98" s="269">
        <v>178774000</v>
      </c>
      <c r="AQ98" s="264">
        <v>67073.195000000007</v>
      </c>
      <c r="AR98" s="264">
        <v>32937553</v>
      </c>
      <c r="AS98" s="264">
        <v>80504.654939999993</v>
      </c>
      <c r="AT98" s="264">
        <v>2082389.1204399997</v>
      </c>
    </row>
    <row r="99" spans="1:46">
      <c r="D99" s="264" t="s">
        <v>131</v>
      </c>
      <c r="G99" s="269">
        <v>1082</v>
      </c>
      <c r="I99" s="380">
        <f t="shared" si="1"/>
        <v>1082</v>
      </c>
      <c r="J99" s="269">
        <v>17598.004512</v>
      </c>
      <c r="K99" s="269">
        <v>0</v>
      </c>
      <c r="L99" s="269">
        <v>52533629</v>
      </c>
      <c r="M99" s="269">
        <v>22847582</v>
      </c>
      <c r="N99" s="269">
        <v>103403646</v>
      </c>
      <c r="O99" s="269">
        <v>102817.277</v>
      </c>
      <c r="P99" s="269">
        <v>22373978</v>
      </c>
      <c r="Q99" s="269">
        <v>49914</v>
      </c>
      <c r="R99" s="269">
        <v>54650.150474819995</v>
      </c>
      <c r="S99" s="269">
        <v>40160708157</v>
      </c>
      <c r="T99" s="269">
        <v>23184965019.960003</v>
      </c>
      <c r="U99" s="269">
        <v>21852904602.389999</v>
      </c>
      <c r="V99" s="269">
        <v>40461092</v>
      </c>
      <c r="W99" s="269">
        <v>58543</v>
      </c>
      <c r="X99" s="269">
        <v>42605.083999999995</v>
      </c>
      <c r="Y99" s="269">
        <v>52757081.3273357</v>
      </c>
      <c r="Z99" s="269">
        <v>10074028</v>
      </c>
      <c r="AA99" s="269">
        <v>40719854</v>
      </c>
      <c r="AB99" s="269">
        <v>95401</v>
      </c>
      <c r="AC99" s="269">
        <v>39770</v>
      </c>
      <c r="AD99" s="269">
        <v>93664.738661950018</v>
      </c>
      <c r="AE99" s="269">
        <v>363083</v>
      </c>
      <c r="AF99" s="269">
        <v>56491</v>
      </c>
      <c r="AG99" s="269">
        <v>11858.501768149274</v>
      </c>
      <c r="AH99" s="269">
        <v>50403</v>
      </c>
      <c r="AI99" s="269">
        <v>22147</v>
      </c>
      <c r="AJ99" s="269">
        <v>65566185877</v>
      </c>
      <c r="AK99" s="269">
        <v>150521764.01800001</v>
      </c>
      <c r="AL99" s="269">
        <v>11689836</v>
      </c>
      <c r="AM99" s="269">
        <v>118415.19190965993</v>
      </c>
      <c r="AN99" s="269">
        <v>31525</v>
      </c>
      <c r="AO99" s="269">
        <v>45487682</v>
      </c>
      <c r="AP99" s="269">
        <v>51000</v>
      </c>
      <c r="AQ99" s="264">
        <v>105270.171</v>
      </c>
      <c r="AR99" s="264">
        <v>73255241</v>
      </c>
      <c r="AS99" s="264">
        <v>43457649.154829979</v>
      </c>
      <c r="AT99" s="264">
        <v>28753669.10969834</v>
      </c>
    </row>
    <row r="100" spans="1:46">
      <c r="D100" s="264" t="s">
        <v>132</v>
      </c>
      <c r="G100" s="269">
        <v>1083</v>
      </c>
      <c r="I100" s="380">
        <f t="shared" si="1"/>
        <v>1083</v>
      </c>
      <c r="J100" s="269">
        <v>16172.471017</v>
      </c>
      <c r="K100" s="269">
        <v>140163477</v>
      </c>
      <c r="L100" s="269">
        <v>47605179.264998719</v>
      </c>
      <c r="M100" s="269">
        <v>9953772.2959970329</v>
      </c>
      <c r="N100" s="269">
        <v>82528841</v>
      </c>
      <c r="O100" s="269">
        <v>64460</v>
      </c>
      <c r="P100" s="269">
        <v>16485567</v>
      </c>
      <c r="Q100" s="269">
        <v>30893</v>
      </c>
      <c r="R100" s="269">
        <v>125356.87128399999</v>
      </c>
      <c r="S100" s="269">
        <v>25179371374</v>
      </c>
      <c r="T100" s="269">
        <v>13844068521.426901</v>
      </c>
      <c r="U100" s="269">
        <v>16031976695</v>
      </c>
      <c r="V100" s="269">
        <v>19273193</v>
      </c>
      <c r="W100" s="269">
        <v>408373.9411764706</v>
      </c>
      <c r="X100" s="269">
        <v>99041.616000000009</v>
      </c>
      <c r="Y100" s="269">
        <v>28273157.012650002</v>
      </c>
      <c r="Z100" s="269">
        <v>3062000</v>
      </c>
      <c r="AA100" s="269">
        <v>44054723</v>
      </c>
      <c r="AB100" s="269">
        <v>88786</v>
      </c>
      <c r="AC100" s="269">
        <v>40033</v>
      </c>
      <c r="AD100" s="269">
        <v>106487</v>
      </c>
      <c r="AE100" s="269">
        <v>406077</v>
      </c>
      <c r="AF100" s="269">
        <v>62535</v>
      </c>
      <c r="AG100" s="269">
        <v>7592</v>
      </c>
      <c r="AH100" s="269">
        <v>70783</v>
      </c>
      <c r="AI100" s="269">
        <v>13998</v>
      </c>
      <c r="AJ100" s="269">
        <v>83292426441.999969</v>
      </c>
      <c r="AK100" s="269">
        <v>98440237.491701677</v>
      </c>
      <c r="AL100" s="269">
        <v>66765761</v>
      </c>
      <c r="AM100" s="269">
        <v>106583</v>
      </c>
      <c r="AN100" s="269">
        <v>28088</v>
      </c>
      <c r="AO100" s="269">
        <v>95593082</v>
      </c>
      <c r="AP100" s="269">
        <v>56915818</v>
      </c>
      <c r="AQ100" s="264">
        <v>116606.73347033004</v>
      </c>
      <c r="AR100" s="264">
        <v>80749274.227401137</v>
      </c>
      <c r="AS100" s="264">
        <v>35458097.171779998</v>
      </c>
      <c r="AT100" s="264">
        <v>24920933.32183094</v>
      </c>
    </row>
    <row r="101" spans="1:46">
      <c r="D101" s="264" t="s">
        <v>205</v>
      </c>
      <c r="G101" s="269">
        <v>1084</v>
      </c>
      <c r="I101" s="380">
        <f t="shared" si="1"/>
        <v>1084</v>
      </c>
      <c r="J101" s="269">
        <v>1458.7838400000001</v>
      </c>
      <c r="K101" s="269">
        <v>37634069</v>
      </c>
      <c r="L101" s="269">
        <v>2464402.6267640651</v>
      </c>
      <c r="M101" s="269">
        <v>30859.119110000007</v>
      </c>
      <c r="N101" s="269">
        <v>5198132</v>
      </c>
      <c r="O101" s="269">
        <v>5836</v>
      </c>
      <c r="P101" s="269">
        <v>5304148</v>
      </c>
      <c r="Q101" s="269">
        <v>13871</v>
      </c>
      <c r="R101" s="269">
        <v>29867.249810899997</v>
      </c>
      <c r="S101" s="269">
        <v>7932486260</v>
      </c>
      <c r="T101" s="269">
        <v>546808879.40849996</v>
      </c>
      <c r="U101" s="269">
        <v>1671209485</v>
      </c>
      <c r="V101" s="269">
        <v>4766481</v>
      </c>
      <c r="W101" s="269">
        <v>114206.05</v>
      </c>
      <c r="X101" s="269">
        <v>64608.661500000002</v>
      </c>
      <c r="Y101" s="269">
        <v>4523964.4369999999</v>
      </c>
      <c r="Z101" s="269">
        <v>1684000</v>
      </c>
      <c r="AA101" s="269">
        <v>3192958</v>
      </c>
      <c r="AB101" s="269">
        <v>24263</v>
      </c>
      <c r="AC101" s="269">
        <v>2896</v>
      </c>
      <c r="AD101" s="269">
        <v>9848</v>
      </c>
      <c r="AE101" s="269">
        <v>136126</v>
      </c>
      <c r="AF101" s="269">
        <v>3876</v>
      </c>
      <c r="AG101" s="269">
        <v>1459.1089999999999</v>
      </c>
      <c r="AH101" s="269">
        <v>12802</v>
      </c>
      <c r="AI101" s="269">
        <v>2043</v>
      </c>
      <c r="AJ101" s="269">
        <v>31709069822.650085</v>
      </c>
      <c r="AK101" s="269">
        <v>4410653.0848501995</v>
      </c>
      <c r="AL101" s="269">
        <v>54135162</v>
      </c>
      <c r="AM101" s="269">
        <v>11549.025713000001</v>
      </c>
      <c r="AN101" s="269">
        <v>20473</v>
      </c>
      <c r="AO101" s="269">
        <v>87656556</v>
      </c>
      <c r="AP101" s="269">
        <v>81235407</v>
      </c>
      <c r="AQ101" s="264">
        <v>12033.811916445744</v>
      </c>
      <c r="AR101" s="264">
        <v>6288047.5499999998</v>
      </c>
      <c r="AS101" s="264">
        <v>4021322.95664</v>
      </c>
      <c r="AT101" s="264">
        <v>2134542.7777169235</v>
      </c>
    </row>
    <row r="102" spans="1:46">
      <c r="D102" s="264" t="s">
        <v>610</v>
      </c>
      <c r="G102" s="269">
        <v>1085</v>
      </c>
      <c r="I102" s="380">
        <f t="shared" si="1"/>
        <v>1085</v>
      </c>
      <c r="J102" s="269">
        <v>4630.1505990000005</v>
      </c>
      <c r="K102" s="269">
        <v>19676745.172999978</v>
      </c>
      <c r="L102" s="269">
        <v>20124129.108237214</v>
      </c>
      <c r="M102" s="269">
        <v>18976498.584892966</v>
      </c>
      <c r="N102" s="269">
        <v>42445005</v>
      </c>
      <c r="O102" s="269">
        <v>56669.682000000001</v>
      </c>
      <c r="P102" s="269">
        <v>3601496</v>
      </c>
      <c r="Q102" s="269">
        <v>49525</v>
      </c>
      <c r="R102" s="269">
        <v>70196.278216659994</v>
      </c>
      <c r="S102" s="269">
        <v>30933791963</v>
      </c>
      <c r="T102" s="269">
        <v>28181844601.434601</v>
      </c>
      <c r="U102" s="269">
        <v>26571314690.669998</v>
      </c>
      <c r="V102" s="269">
        <v>21122290</v>
      </c>
      <c r="W102" s="269">
        <v>20154.00882352941</v>
      </c>
      <c r="X102" s="269">
        <v>18866.518499999976</v>
      </c>
      <c r="Y102" s="269">
        <v>30340100.494127635</v>
      </c>
      <c r="Z102" s="269">
        <v>14654940</v>
      </c>
      <c r="AA102" s="269">
        <v>1668333</v>
      </c>
      <c r="AB102" s="269">
        <v>21129</v>
      </c>
      <c r="AC102" s="269">
        <v>1120</v>
      </c>
      <c r="AD102" s="269">
        <v>87904.874703940004</v>
      </c>
      <c r="AE102" s="269">
        <v>58784</v>
      </c>
      <c r="AF102" s="269">
        <v>1849</v>
      </c>
      <c r="AG102" s="269">
        <v>2807.3927681492733</v>
      </c>
      <c r="AH102" s="269">
        <v>24023</v>
      </c>
      <c r="AI102" s="269">
        <v>9748</v>
      </c>
      <c r="AJ102" s="269">
        <v>108455048632.34995</v>
      </c>
      <c r="AK102" s="269">
        <v>206934742.33544812</v>
      </c>
      <c r="AL102" s="269">
        <v>61028896</v>
      </c>
      <c r="AM102" s="269">
        <v>52721.486849131019</v>
      </c>
      <c r="AN102" s="269">
        <v>39204</v>
      </c>
      <c r="AO102" s="269">
        <v>160537866</v>
      </c>
      <c r="AP102" s="269">
        <v>40673775</v>
      </c>
      <c r="AQ102" s="264">
        <v>43702.820613224219</v>
      </c>
      <c r="AR102" s="264">
        <v>19155472.222598866</v>
      </c>
      <c r="AS102" s="264">
        <v>4058733.6813499853</v>
      </c>
      <c r="AT102" s="264">
        <v>3780582.1305904761</v>
      </c>
    </row>
    <row r="103" spans="1:46">
      <c r="B103" s="264" t="s">
        <v>372</v>
      </c>
      <c r="D103" s="264" t="s">
        <v>390</v>
      </c>
      <c r="G103" s="269">
        <v>1086</v>
      </c>
      <c r="I103" s="380">
        <f t="shared" si="1"/>
        <v>1086</v>
      </c>
      <c r="J103" s="269">
        <v>3884</v>
      </c>
      <c r="K103" s="269">
        <v>109145135</v>
      </c>
      <c r="L103" s="269">
        <v>6128061</v>
      </c>
      <c r="M103" s="269">
        <v>362380</v>
      </c>
      <c r="N103" s="269">
        <v>6919402</v>
      </c>
      <c r="O103" s="269">
        <v>3731</v>
      </c>
      <c r="P103" s="269">
        <v>3155475</v>
      </c>
      <c r="Q103" s="269">
        <v>5722</v>
      </c>
      <c r="R103" s="269">
        <v>28480.571241769998</v>
      </c>
      <c r="S103" s="269">
        <v>3747110954</v>
      </c>
      <c r="T103" s="269">
        <v>855182227.75</v>
      </c>
      <c r="U103" s="269">
        <v>2001722712.4000001</v>
      </c>
      <c r="V103" s="269">
        <v>563026</v>
      </c>
      <c r="W103" s="269">
        <v>7692</v>
      </c>
      <c r="X103" s="269">
        <v>15388.353000000001</v>
      </c>
      <c r="Y103" s="269">
        <v>6997893.8317505298</v>
      </c>
      <c r="Z103" s="269">
        <v>252967.50700000001</v>
      </c>
      <c r="AA103" s="269">
        <v>2005282</v>
      </c>
      <c r="AB103" s="269">
        <v>1603</v>
      </c>
      <c r="AC103" s="269">
        <v>3976</v>
      </c>
      <c r="AD103" s="269">
        <v>32342.20267694</v>
      </c>
      <c r="AE103" s="269">
        <v>17632</v>
      </c>
      <c r="AF103" s="269">
        <v>5338</v>
      </c>
      <c r="AG103" s="269">
        <v>92.145889420233487</v>
      </c>
      <c r="AH103" s="269">
        <v>5307</v>
      </c>
      <c r="AI103" s="269">
        <v>602</v>
      </c>
      <c r="AJ103" s="269">
        <v>7166219567</v>
      </c>
      <c r="AK103" s="269">
        <v>27409916.506999999</v>
      </c>
      <c r="AL103" s="269">
        <v>1602052</v>
      </c>
      <c r="AM103" s="269">
        <v>6566.1748301277212</v>
      </c>
      <c r="AN103" s="269">
        <v>2764</v>
      </c>
      <c r="AO103" s="269">
        <v>33368000</v>
      </c>
      <c r="AP103" s="269">
        <v>158000</v>
      </c>
      <c r="AQ103" s="264">
        <v>2557.0740000000001</v>
      </c>
      <c r="AR103" s="264">
        <v>762164</v>
      </c>
      <c r="AS103" s="264">
        <v>148686</v>
      </c>
      <c r="AT103" s="264">
        <v>965353</v>
      </c>
    </row>
    <row r="104" spans="1:46">
      <c r="A104" s="263" t="s">
        <v>138</v>
      </c>
      <c r="B104" s="264" t="s">
        <v>373</v>
      </c>
      <c r="D104" s="264" t="s">
        <v>391</v>
      </c>
      <c r="G104" s="269">
        <v>1087</v>
      </c>
      <c r="I104" s="380">
        <f t="shared" si="1"/>
        <v>1087</v>
      </c>
      <c r="J104" s="269">
        <v>95622</v>
      </c>
      <c r="K104" s="269">
        <v>1105013000</v>
      </c>
      <c r="L104" s="269">
        <v>119438000</v>
      </c>
      <c r="M104" s="269">
        <v>9972755.6341300011</v>
      </c>
      <c r="N104" s="269">
        <v>438079739</v>
      </c>
      <c r="O104" s="269">
        <v>551851</v>
      </c>
      <c r="P104" s="269">
        <v>36192726</v>
      </c>
      <c r="Q104" s="269">
        <v>234707</v>
      </c>
      <c r="R104" s="269">
        <v>826030.51599999995</v>
      </c>
      <c r="S104" s="269">
        <v>80184949819.720001</v>
      </c>
      <c r="T104" s="269">
        <v>49210553000</v>
      </c>
      <c r="U104" s="269">
        <v>63439694000</v>
      </c>
      <c r="V104" s="269">
        <v>61637914</v>
      </c>
      <c r="W104" s="269">
        <v>1344083.6999999997</v>
      </c>
      <c r="X104" s="269">
        <v>248223.02099725697</v>
      </c>
      <c r="Y104" s="269">
        <v>77468153.454999998</v>
      </c>
      <c r="Z104" s="269">
        <v>25397832</v>
      </c>
      <c r="AA104" s="269">
        <v>114311106</v>
      </c>
      <c r="AB104" s="269">
        <v>490600</v>
      </c>
      <c r="AC104" s="269">
        <v>232257</v>
      </c>
      <c r="AD104" s="269">
        <v>532417</v>
      </c>
      <c r="AE104" s="269">
        <v>1553207</v>
      </c>
      <c r="AF104" s="269">
        <v>68722</v>
      </c>
      <c r="AG104" s="269">
        <v>6094</v>
      </c>
      <c r="AH104" s="269">
        <v>368262</v>
      </c>
      <c r="AI104" s="269">
        <v>100947</v>
      </c>
      <c r="AJ104" s="269">
        <v>426598772707</v>
      </c>
      <c r="AK104" s="269">
        <v>989428891.14483881</v>
      </c>
      <c r="AL104" s="269">
        <v>1273358068</v>
      </c>
      <c r="AM104" s="269">
        <v>307131.85168362013</v>
      </c>
      <c r="AN104" s="269">
        <v>395086</v>
      </c>
      <c r="AO104" s="269">
        <v>892142355.84825981</v>
      </c>
      <c r="AP104" s="269">
        <v>205251118</v>
      </c>
      <c r="AQ104" s="264">
        <v>826402.72537700005</v>
      </c>
      <c r="AR104" s="264">
        <v>302419686</v>
      </c>
      <c r="AS104" s="264">
        <v>18663767</v>
      </c>
      <c r="AT104" s="264">
        <v>13262781</v>
      </c>
    </row>
    <row r="105" spans="1:46">
      <c r="B105" s="264" t="s">
        <v>374</v>
      </c>
      <c r="D105" s="264" t="s">
        <v>148</v>
      </c>
      <c r="G105" s="269">
        <v>1088</v>
      </c>
      <c r="I105" s="380">
        <f t="shared" si="1"/>
        <v>1088</v>
      </c>
      <c r="J105" s="269">
        <v>85204</v>
      </c>
      <c r="K105" s="269">
        <v>911759904</v>
      </c>
      <c r="L105" s="269">
        <v>117348510</v>
      </c>
      <c r="M105" s="269">
        <v>22171396.551210009</v>
      </c>
      <c r="N105" s="269">
        <v>414682352</v>
      </c>
      <c r="O105" s="269">
        <v>395128</v>
      </c>
      <c r="P105" s="269">
        <v>22604112</v>
      </c>
      <c r="Q105" s="269">
        <v>136165</v>
      </c>
      <c r="R105" s="269">
        <v>749560.07400000002</v>
      </c>
      <c r="S105" s="269">
        <v>45468547739.18</v>
      </c>
      <c r="T105" s="269">
        <v>9374942000</v>
      </c>
      <c r="U105" s="269">
        <v>35963596000</v>
      </c>
      <c r="V105" s="269">
        <v>29398553</v>
      </c>
      <c r="W105" s="269">
        <v>1363099.5</v>
      </c>
      <c r="X105" s="269">
        <v>111569.88791182371</v>
      </c>
      <c r="Y105" s="269">
        <v>19479282.461682003</v>
      </c>
      <c r="Z105" s="269">
        <v>1108817.4541600002</v>
      </c>
      <c r="AA105" s="269">
        <v>79115839</v>
      </c>
      <c r="AB105" s="269">
        <v>338442</v>
      </c>
      <c r="AC105" s="269">
        <v>153668</v>
      </c>
      <c r="AD105" s="269">
        <v>479588.87209779443</v>
      </c>
      <c r="AE105" s="269">
        <v>879991</v>
      </c>
      <c r="AF105" s="269">
        <v>122166</v>
      </c>
      <c r="AG105" s="269">
        <v>11032.734189667999</v>
      </c>
      <c r="AH105" s="269">
        <v>183413</v>
      </c>
      <c r="AI105" s="269">
        <v>50215</v>
      </c>
      <c r="AJ105" s="269">
        <v>182601610379</v>
      </c>
      <c r="AK105" s="269">
        <v>828747350.21339297</v>
      </c>
      <c r="AL105" s="269">
        <v>805251509</v>
      </c>
      <c r="AM105" s="269">
        <v>53251.104812073791</v>
      </c>
      <c r="AN105" s="269">
        <v>129521</v>
      </c>
      <c r="AO105" s="269">
        <v>792946493</v>
      </c>
      <c r="AP105" s="269">
        <v>147092282</v>
      </c>
      <c r="AQ105" s="264">
        <v>229032.43328949987</v>
      </c>
      <c r="AR105" s="264">
        <v>143957846</v>
      </c>
      <c r="AS105" s="264">
        <v>27066922.60093898</v>
      </c>
      <c r="AT105" s="264">
        <v>17225703</v>
      </c>
    </row>
    <row r="106" spans="1:46">
      <c r="D106" s="264" t="s">
        <v>162</v>
      </c>
      <c r="G106" s="269">
        <v>1089</v>
      </c>
      <c r="I106" s="380">
        <f t="shared" si="1"/>
        <v>1089</v>
      </c>
      <c r="J106" s="269">
        <v>26925</v>
      </c>
      <c r="K106" s="269">
        <v>315297002</v>
      </c>
      <c r="L106" s="269">
        <v>36438000</v>
      </c>
      <c r="M106" s="269">
        <v>834641.19043999992</v>
      </c>
      <c r="N106" s="269">
        <v>63058463.366263017</v>
      </c>
      <c r="O106" s="269">
        <v>32584</v>
      </c>
      <c r="P106" s="269">
        <v>4374929</v>
      </c>
      <c r="Q106" s="269">
        <v>25291</v>
      </c>
      <c r="R106" s="269">
        <v>344231.12099999998</v>
      </c>
      <c r="S106" s="269">
        <v>22688850789.950001</v>
      </c>
      <c r="T106" s="269">
        <v>3833840000</v>
      </c>
      <c r="U106" s="269">
        <v>17530489000</v>
      </c>
      <c r="V106" s="269">
        <v>9363787</v>
      </c>
      <c r="W106" s="269">
        <v>250195.71934501143</v>
      </c>
      <c r="X106" s="269">
        <v>25142.754380333503</v>
      </c>
      <c r="Y106" s="269">
        <v>14698983.000682002</v>
      </c>
      <c r="Z106" s="269">
        <v>0</v>
      </c>
      <c r="AA106" s="269">
        <v>0</v>
      </c>
      <c r="AB106" s="269">
        <v>239774</v>
      </c>
      <c r="AC106" s="269">
        <v>135776</v>
      </c>
      <c r="AD106" s="269">
        <v>257302.83719740185</v>
      </c>
      <c r="AE106" s="269">
        <v>52498</v>
      </c>
      <c r="AF106" s="269">
        <v>17549</v>
      </c>
      <c r="AG106" s="269">
        <v>6470.2557228905252</v>
      </c>
      <c r="AH106" s="269">
        <v>25456</v>
      </c>
      <c r="AI106" s="269">
        <v>6110</v>
      </c>
      <c r="AJ106" s="269">
        <v>0</v>
      </c>
      <c r="AK106" s="269">
        <v>524719833.51660293</v>
      </c>
      <c r="AL106" s="269">
        <v>332893225</v>
      </c>
      <c r="AM106" s="269">
        <v>0</v>
      </c>
      <c r="AN106" s="269">
        <v>0</v>
      </c>
      <c r="AO106" s="269">
        <v>0</v>
      </c>
      <c r="AP106" s="269">
        <v>59585814</v>
      </c>
      <c r="AQ106" s="264">
        <v>50725.489219999996</v>
      </c>
      <c r="AR106" s="264">
        <v>14535710</v>
      </c>
      <c r="AS106" s="264">
        <v>1153854</v>
      </c>
      <c r="AT106" s="264">
        <v>93445</v>
      </c>
    </row>
    <row r="107" spans="1:46">
      <c r="D107" s="264" t="s">
        <v>149</v>
      </c>
      <c r="G107" s="269">
        <v>1090</v>
      </c>
      <c r="I107" s="380">
        <f t="shared" si="1"/>
        <v>1090</v>
      </c>
      <c r="J107" s="269">
        <v>34567</v>
      </c>
      <c r="K107" s="269">
        <v>210616000</v>
      </c>
      <c r="L107" s="269">
        <v>51287490</v>
      </c>
      <c r="M107" s="269">
        <v>1699201.2749400001</v>
      </c>
      <c r="N107" s="269">
        <v>291320305</v>
      </c>
      <c r="O107" s="269">
        <v>170628</v>
      </c>
      <c r="P107" s="269">
        <v>2022063</v>
      </c>
      <c r="Q107" s="269">
        <v>18075</v>
      </c>
      <c r="R107" s="269">
        <v>153856.56599999999</v>
      </c>
      <c r="S107" s="269">
        <v>4824748916.8900003</v>
      </c>
      <c r="T107" s="269">
        <v>4267733000</v>
      </c>
      <c r="U107" s="269">
        <v>17790424000</v>
      </c>
      <c r="V107" s="269">
        <v>23107625</v>
      </c>
      <c r="W107" s="269">
        <v>1168144.5999999999</v>
      </c>
      <c r="X107" s="269">
        <v>31332.939468509798</v>
      </c>
      <c r="Y107" s="269">
        <v>38412870.82375554</v>
      </c>
      <c r="Z107" s="269">
        <v>0</v>
      </c>
      <c r="AA107" s="269">
        <v>39036413</v>
      </c>
      <c r="AB107" s="269">
        <v>337819</v>
      </c>
      <c r="AC107" s="269">
        <v>59925</v>
      </c>
      <c r="AD107" s="269">
        <v>207615</v>
      </c>
      <c r="AE107" s="269">
        <v>695077</v>
      </c>
      <c r="AF107" s="269">
        <v>7464</v>
      </c>
      <c r="AG107" s="269">
        <v>1923</v>
      </c>
      <c r="AH107" s="269">
        <v>113987</v>
      </c>
      <c r="AI107" s="269">
        <v>49599.210899999998</v>
      </c>
      <c r="AJ107" s="269">
        <v>153971355762</v>
      </c>
      <c r="AK107" s="269">
        <v>452788924.592466</v>
      </c>
      <c r="AL107" s="269">
        <v>288625918</v>
      </c>
      <c r="AM107" s="269">
        <v>241739.26722459399</v>
      </c>
      <c r="AN107" s="269">
        <v>263484</v>
      </c>
      <c r="AO107" s="269">
        <v>243551050.43847778</v>
      </c>
      <c r="AP107" s="269">
        <v>765592230</v>
      </c>
      <c r="AQ107" s="264">
        <v>546648.65356700006</v>
      </c>
      <c r="AR107" s="264">
        <v>198649300</v>
      </c>
      <c r="AS107" s="264">
        <v>3501703</v>
      </c>
      <c r="AT107" s="264">
        <v>74018</v>
      </c>
    </row>
    <row r="108" spans="1:46">
      <c r="D108" s="264" t="s">
        <v>611</v>
      </c>
      <c r="G108" s="269">
        <v>1091</v>
      </c>
      <c r="I108" s="380">
        <f t="shared" si="1"/>
        <v>1091</v>
      </c>
      <c r="J108" s="269">
        <v>92846</v>
      </c>
      <c r="K108" s="269">
        <v>807078902</v>
      </c>
      <c r="L108" s="269">
        <v>132198000</v>
      </c>
      <c r="M108" s="269">
        <v>23035956.635710008</v>
      </c>
      <c r="N108" s="269">
        <v>642944193.63373697</v>
      </c>
      <c r="O108" s="269">
        <v>533172</v>
      </c>
      <c r="P108" s="269">
        <v>20251246</v>
      </c>
      <c r="Q108" s="269">
        <v>128949</v>
      </c>
      <c r="R108" s="269">
        <v>559185.51900000009</v>
      </c>
      <c r="S108" s="269">
        <v>27604445866.119999</v>
      </c>
      <c r="T108" s="269">
        <v>9808835000</v>
      </c>
      <c r="U108" s="269">
        <v>36223531000</v>
      </c>
      <c r="V108" s="269">
        <v>43142391</v>
      </c>
      <c r="W108" s="269">
        <v>2281048.3806549883</v>
      </c>
      <c r="X108" s="269">
        <v>117760.073</v>
      </c>
      <c r="Y108" s="269">
        <v>43193170.284755543</v>
      </c>
      <c r="Z108" s="269">
        <v>1108817.4541600002</v>
      </c>
      <c r="AA108" s="269">
        <v>118152252</v>
      </c>
      <c r="AB108" s="269">
        <v>436487</v>
      </c>
      <c r="AC108" s="269">
        <v>77817</v>
      </c>
      <c r="AD108" s="269">
        <v>429901.03490039258</v>
      </c>
      <c r="AE108" s="269">
        <v>1522570</v>
      </c>
      <c r="AF108" s="269">
        <v>112081</v>
      </c>
      <c r="AG108" s="269">
        <v>6485.4784667774738</v>
      </c>
      <c r="AH108" s="269">
        <v>271944</v>
      </c>
      <c r="AI108" s="269">
        <v>93704.210900000005</v>
      </c>
      <c r="AJ108" s="269">
        <v>336572966141</v>
      </c>
      <c r="AK108" s="269">
        <v>756816441.2892561</v>
      </c>
      <c r="AL108" s="269">
        <v>760984202</v>
      </c>
      <c r="AM108" s="269">
        <v>294990.37203666777</v>
      </c>
      <c r="AN108" s="269">
        <v>393005</v>
      </c>
      <c r="AO108" s="269">
        <v>1036497543.4384778</v>
      </c>
      <c r="AP108" s="269">
        <v>853098698</v>
      </c>
      <c r="AQ108" s="264">
        <v>724955.59763649991</v>
      </c>
      <c r="AR108" s="264">
        <v>328071436</v>
      </c>
      <c r="AS108" s="264">
        <v>29414771.60093898</v>
      </c>
      <c r="AT108" s="264">
        <v>17206276</v>
      </c>
    </row>
    <row r="109" spans="1:46" ht="15" customHeight="1"/>
    <row r="110" spans="1:46"/>
    <row r="111" spans="1:46"/>
    <row r="112" spans="1:46"/>
    <row r="113"/>
    <row r="114"/>
    <row r="115"/>
    <row r="116"/>
    <row r="117"/>
    <row r="118"/>
    <row r="119"/>
    <row r="120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</sheetData>
  <sheetProtection password="D63A" sheet="1" objects="1" scenarios="1"/>
  <hyperlinks>
    <hyperlink ref="J16" r:id="rId1" display="https://www.kbc.com"/>
    <hyperlink ref="K16" r:id="rId2"/>
    <hyperlink ref="L16" r:id="rId3"/>
    <hyperlink ref="M16" r:id="rId4"/>
    <hyperlink ref="N16" r:id="rId5"/>
    <hyperlink ref="O16" r:id="rId6"/>
    <hyperlink ref="Q16" r:id="rId7"/>
    <hyperlink ref="R16" r:id="rId8"/>
    <hyperlink ref="S16" r:id="rId9"/>
    <hyperlink ref="T16" r:id="rId10"/>
    <hyperlink ref="U16" r:id="rId11"/>
    <hyperlink ref="V16" r:id="rId12"/>
    <hyperlink ref="W16" r:id="rId13" display="https://www.danskebank.com"/>
    <hyperlink ref="X16" r:id="rId14"/>
    <hyperlink ref="Y16" r:id="rId15"/>
    <hyperlink ref="Z16" r:id="rId16"/>
    <hyperlink ref="AA16" r:id="rId17" display="https://www.abnamro.com/en/images/010_About_ABN_AMRO/040_Reports_and_reviews/Files/2014_Annual_Report.pdf"/>
    <hyperlink ref="AB16" r:id="rId18"/>
    <hyperlink ref="AC16" r:id="rId19"/>
    <hyperlink ref="AD16" r:id="rId20"/>
    <hyperlink ref="AE16" r:id="rId21"/>
    <hyperlink ref="AF16" r:id="rId22"/>
    <hyperlink ref="AG16" r:id="rId23" location="xtab:2014-2015"/>
    <hyperlink ref="AH16" r:id="rId24"/>
    <hyperlink ref="AJ16" r:id="rId25"/>
    <hyperlink ref="AK16" r:id="rId26"/>
    <hyperlink ref="AL16" r:id="rId27"/>
    <hyperlink ref="AM16" r:id="rId28"/>
    <hyperlink ref="AO16" r:id="rId29"/>
    <hyperlink ref="AP16" r:id="rId30"/>
    <hyperlink ref="AN16" r:id="rId31"/>
    <hyperlink ref="AQ16" r:id="rId32"/>
    <hyperlink ref="AR16" r:id="rId33"/>
    <hyperlink ref="AS16" r:id="rId34"/>
    <hyperlink ref="AT16" r:id="rId35"/>
  </hyperlinks>
  <printOptions horizontalCentered="1" verticalCentered="1"/>
  <pageMargins left="0.39370078740157499" right="0.39370078740157499" top="0.78740157480314998" bottom="0.78740157480314998" header="0.39370078740157499" footer="0.39370078740157499"/>
  <pageSetup paperSize="9" scale="56" fitToHeight="5" orientation="landscape" r:id="rId36"/>
  <headerFooter alignWithMargins="0">
    <oddHeader>&amp;L&amp;"Arial,Bold"&amp;16Basel Committee on Banking Supervision&amp;C&amp;16&amp;F&amp;R&amp;"Arial,Bold"&amp;16Confidential</oddHeader>
    <oddFooter>&amp;L&amp;16&amp;D  &amp;T&amp;R&amp;16Page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R300"/>
  <sheetViews>
    <sheetView zoomScale="70" zoomScaleNormal="70" workbookViewId="0">
      <selection activeCell="I87" sqref="I87"/>
    </sheetView>
  </sheetViews>
  <sheetFormatPr defaultColWidth="0" defaultRowHeight="12.75" zeroHeight="1"/>
  <cols>
    <col min="1" max="1" width="5.7109375" style="9" customWidth="1"/>
    <col min="2" max="2" width="5.7109375" style="6" customWidth="1"/>
    <col min="3" max="3" width="50.7109375" style="7" customWidth="1"/>
    <col min="4" max="4" width="10.7109375" style="7" customWidth="1"/>
    <col min="5" max="5" width="25.7109375" style="7" customWidth="1"/>
    <col min="6" max="6" width="5.7109375" style="7" customWidth="1"/>
    <col min="7" max="7" width="24.7109375" style="7" customWidth="1"/>
    <col min="8" max="8" width="10.5703125" style="94" customWidth="1"/>
    <col min="9" max="9" width="17" style="7" customWidth="1"/>
    <col min="10" max="10" width="4.7109375" style="9" customWidth="1"/>
    <col min="11" max="11" width="15.28515625" style="8" customWidth="1"/>
    <col min="12" max="12" width="45.7109375" style="7" customWidth="1"/>
    <col min="13" max="13" width="4.7109375" style="9" customWidth="1"/>
    <col min="14" max="14" width="25.7109375" style="7" customWidth="1"/>
    <col min="15" max="15" width="5.7109375" style="8" customWidth="1"/>
    <col min="16" max="16" width="11.42578125" style="9" customWidth="1"/>
    <col min="17" max="18" width="9.140625" customWidth="1"/>
    <col min="19" max="16384" width="9.140625" hidden="1"/>
  </cols>
  <sheetData>
    <row r="1" spans="1:16">
      <c r="A1" s="15"/>
      <c r="B1" s="200"/>
      <c r="C1" s="4"/>
      <c r="D1" s="4"/>
      <c r="E1" s="4"/>
      <c r="F1" s="4"/>
      <c r="G1" s="4"/>
      <c r="H1" s="134"/>
      <c r="I1" s="4"/>
      <c r="J1" s="15"/>
      <c r="K1" s="3"/>
      <c r="L1" s="4"/>
      <c r="M1" s="15"/>
      <c r="N1" s="4"/>
      <c r="O1" s="3"/>
      <c r="P1" s="15"/>
    </row>
    <row r="2" spans="1:16" ht="26.25">
      <c r="A2" s="15"/>
      <c r="B2" s="4"/>
      <c r="C2" s="422" t="s">
        <v>208</v>
      </c>
      <c r="D2" s="422"/>
      <c r="E2" s="422"/>
      <c r="F2" s="4"/>
      <c r="G2" s="138" t="s">
        <v>677</v>
      </c>
      <c r="H2" s="134"/>
      <c r="I2" s="139"/>
      <c r="J2" s="15"/>
      <c r="K2" s="3"/>
      <c r="L2" s="139"/>
      <c r="M2" s="15"/>
      <c r="N2" s="139"/>
      <c r="O2" s="3"/>
      <c r="P2" s="3"/>
    </row>
    <row r="3" spans="1:16" ht="15.75">
      <c r="A3" s="15"/>
      <c r="B3" s="59" t="s">
        <v>28</v>
      </c>
      <c r="C3" s="60"/>
      <c r="D3" s="60"/>
      <c r="E3" s="60"/>
      <c r="F3" s="60"/>
      <c r="G3" s="60"/>
      <c r="H3" s="92"/>
      <c r="I3" s="60"/>
      <c r="J3" s="60"/>
      <c r="K3" s="60"/>
      <c r="L3" s="60"/>
      <c r="M3" s="60"/>
      <c r="N3" s="60"/>
      <c r="O3" s="61"/>
      <c r="P3" s="3"/>
    </row>
    <row r="4" spans="1:16">
      <c r="A4" s="15"/>
      <c r="B4" s="95"/>
      <c r="C4" s="24"/>
      <c r="D4" s="24"/>
      <c r="E4" s="3"/>
      <c r="F4" s="3"/>
      <c r="G4" s="3"/>
      <c r="H4" s="22"/>
      <c r="I4" s="3"/>
      <c r="J4" s="3"/>
      <c r="K4" s="3"/>
      <c r="L4" s="3"/>
      <c r="M4" s="3"/>
      <c r="N4" s="3"/>
      <c r="O4" s="96"/>
      <c r="P4" s="3"/>
    </row>
    <row r="5" spans="1:16">
      <c r="A5" s="15"/>
      <c r="B5" s="95"/>
      <c r="C5" s="49" t="s">
        <v>362</v>
      </c>
      <c r="D5" s="50"/>
      <c r="E5" s="51"/>
      <c r="F5" s="48" t="s">
        <v>206</v>
      </c>
      <c r="G5" s="28" t="s">
        <v>133</v>
      </c>
      <c r="H5" s="23"/>
      <c r="I5" s="28" t="s">
        <v>25</v>
      </c>
      <c r="J5" s="3"/>
      <c r="K5" s="3"/>
      <c r="L5" s="3"/>
      <c r="M5" s="3"/>
      <c r="N5" s="3"/>
      <c r="O5" s="96"/>
      <c r="P5" s="3"/>
    </row>
    <row r="6" spans="1:16">
      <c r="A6" s="15"/>
      <c r="B6" s="95"/>
      <c r="C6" s="114" t="s">
        <v>252</v>
      </c>
      <c r="D6" s="115"/>
      <c r="E6" s="116"/>
      <c r="F6" s="33"/>
      <c r="G6" s="32"/>
      <c r="H6" s="23"/>
      <c r="I6" s="44"/>
      <c r="J6" s="3"/>
      <c r="K6" s="3"/>
      <c r="L6" s="3"/>
      <c r="M6" s="3"/>
      <c r="N6" s="3"/>
      <c r="O6" s="96"/>
      <c r="P6" s="3"/>
    </row>
    <row r="7" spans="1:16">
      <c r="A7" s="15"/>
      <c r="B7" s="95"/>
      <c r="C7" s="117" t="s">
        <v>61</v>
      </c>
      <c r="D7" s="118"/>
      <c r="E7" s="116"/>
      <c r="F7" s="171">
        <v>1001</v>
      </c>
      <c r="G7" s="63" t="s">
        <v>26</v>
      </c>
      <c r="H7" s="23" t="s">
        <v>59</v>
      </c>
      <c r="I7" s="45" t="str">
        <f>IF(OR(G7="&lt;select&gt;",ISBLANK(G7)),"Please select a code"," ")</f>
        <v>Please select a code</v>
      </c>
      <c r="J7" s="3"/>
      <c r="K7" s="3"/>
      <c r="L7" s="3"/>
      <c r="M7" s="3"/>
      <c r="N7" s="3"/>
      <c r="O7" s="96"/>
      <c r="P7" s="3"/>
    </row>
    <row r="8" spans="1:16">
      <c r="A8" s="15"/>
      <c r="B8" s="95"/>
      <c r="C8" s="117" t="s">
        <v>204</v>
      </c>
      <c r="D8" s="118"/>
      <c r="E8" s="116"/>
      <c r="F8" s="171">
        <v>1002</v>
      </c>
      <c r="G8" s="64"/>
      <c r="H8" s="23" t="s">
        <v>60</v>
      </c>
      <c r="I8" s="45" t="str">
        <f>IF(ISNUMBER(G8),"No numbers please",IF(ISTEXT(G8)," ","Please enter a name"))</f>
        <v>Please enter a name</v>
      </c>
      <c r="J8" s="3"/>
      <c r="K8" s="3"/>
      <c r="L8" s="3"/>
      <c r="M8" s="3"/>
      <c r="N8" s="3"/>
      <c r="O8" s="96"/>
      <c r="P8" s="3"/>
    </row>
    <row r="9" spans="1:16">
      <c r="A9" s="15"/>
      <c r="B9" s="95"/>
      <c r="C9" s="117" t="s">
        <v>436</v>
      </c>
      <c r="D9" s="118"/>
      <c r="E9" s="116"/>
      <c r="F9" s="171">
        <v>1003</v>
      </c>
      <c r="G9" s="213" t="s">
        <v>26</v>
      </c>
      <c r="H9" s="23" t="s">
        <v>62</v>
      </c>
      <c r="I9" s="45" t="str">
        <f>IF(OR(G9="&lt;select&gt;",ISBLANK(G9)),"Please select a date"," ")</f>
        <v>Please select a date</v>
      </c>
      <c r="J9" s="3"/>
      <c r="K9" s="3"/>
      <c r="L9" s="3"/>
      <c r="M9" s="3"/>
      <c r="N9" s="3"/>
      <c r="O9" s="96"/>
      <c r="P9" s="3"/>
    </row>
    <row r="10" spans="1:16">
      <c r="A10" s="15"/>
      <c r="B10" s="95"/>
      <c r="C10" s="117" t="s">
        <v>437</v>
      </c>
      <c r="D10" s="118"/>
      <c r="E10" s="116"/>
      <c r="F10" s="171">
        <v>1004</v>
      </c>
      <c r="G10" s="214" t="s">
        <v>26</v>
      </c>
      <c r="H10" s="23" t="s">
        <v>433</v>
      </c>
      <c r="I10" s="45" t="str">
        <f>IF(OR(G10="&lt;select&gt;",ISBLANK(G10)),"Please select a value"," ")</f>
        <v>Please select a value</v>
      </c>
      <c r="J10" s="3"/>
      <c r="K10" s="3"/>
      <c r="L10" s="3"/>
      <c r="M10" s="3"/>
      <c r="N10" s="3"/>
      <c r="O10" s="96"/>
      <c r="P10" s="3"/>
    </row>
    <row r="11" spans="1:16">
      <c r="A11" s="15"/>
      <c r="B11" s="95"/>
      <c r="C11" s="119" t="s">
        <v>438</v>
      </c>
      <c r="D11" s="120"/>
      <c r="E11" s="122"/>
      <c r="F11" s="171">
        <v>1005</v>
      </c>
      <c r="G11" s="34" t="s">
        <v>678</v>
      </c>
      <c r="H11" s="23" t="s">
        <v>434</v>
      </c>
      <c r="I11" s="46"/>
      <c r="J11" s="3"/>
      <c r="K11" s="3"/>
      <c r="L11" s="3"/>
      <c r="M11" s="3"/>
      <c r="N11" s="3"/>
      <c r="O11" s="96"/>
      <c r="P11" s="3"/>
    </row>
    <row r="12" spans="1:16">
      <c r="A12" s="15"/>
      <c r="B12" s="95"/>
      <c r="C12" s="119" t="s">
        <v>439</v>
      </c>
      <c r="D12" s="120"/>
      <c r="E12" s="121"/>
      <c r="F12" s="171">
        <v>1006</v>
      </c>
      <c r="G12" s="65"/>
      <c r="H12" s="23" t="s">
        <v>435</v>
      </c>
      <c r="I12" s="45" t="str">
        <f>IF(ISTEXT(G12),"No text please",IF(ISNUMBER(G12)," ", "Please enter a date"))</f>
        <v>Please enter a date</v>
      </c>
      <c r="J12" s="3"/>
      <c r="K12" s="3"/>
      <c r="L12" s="3"/>
      <c r="M12" s="3"/>
      <c r="N12" s="3"/>
      <c r="O12" s="96"/>
      <c r="P12" s="3"/>
    </row>
    <row r="13" spans="1:16">
      <c r="A13" s="15"/>
      <c r="B13" s="95"/>
      <c r="C13" s="114" t="s">
        <v>159</v>
      </c>
      <c r="D13" s="115"/>
      <c r="E13" s="116"/>
      <c r="F13" s="33"/>
      <c r="G13" s="32"/>
      <c r="H13" s="23"/>
      <c r="I13" s="46"/>
      <c r="J13" s="3"/>
      <c r="K13" s="3"/>
      <c r="L13" s="3"/>
      <c r="M13" s="3"/>
      <c r="N13" s="3"/>
      <c r="O13" s="96"/>
      <c r="P13" s="3"/>
    </row>
    <row r="14" spans="1:16">
      <c r="A14" s="15"/>
      <c r="B14" s="95"/>
      <c r="C14" s="117" t="s">
        <v>428</v>
      </c>
      <c r="D14" s="118"/>
      <c r="E14" s="116"/>
      <c r="F14" s="171">
        <v>1007</v>
      </c>
      <c r="G14" s="35" t="s">
        <v>26</v>
      </c>
      <c r="H14" s="23" t="s">
        <v>63</v>
      </c>
      <c r="I14" s="45" t="str">
        <f>IF(OR(G14="&lt;select&gt;",ISBLANK(G14)),"Please select a value"," ")</f>
        <v>Please select a value</v>
      </c>
      <c r="J14" s="3"/>
      <c r="K14" s="3"/>
      <c r="L14" s="3"/>
      <c r="M14" s="3"/>
      <c r="N14" s="3"/>
      <c r="O14" s="96"/>
      <c r="P14" s="3"/>
    </row>
    <row r="15" spans="1:16">
      <c r="A15" s="15"/>
      <c r="B15" s="95"/>
      <c r="C15" s="119" t="s">
        <v>429</v>
      </c>
      <c r="D15" s="120"/>
      <c r="E15" s="121"/>
      <c r="F15" s="171">
        <v>1008</v>
      </c>
      <c r="G15" s="36" t="s">
        <v>26</v>
      </c>
      <c r="H15" s="23" t="s">
        <v>64</v>
      </c>
      <c r="I15" s="45" t="str">
        <f>IF(OR(G15="&lt;select&gt;",ISBLANK(G15)),"Please select a value"," ")</f>
        <v>Please select a value</v>
      </c>
      <c r="J15" s="3"/>
      <c r="K15" s="3"/>
      <c r="L15" s="28" t="s">
        <v>224</v>
      </c>
      <c r="M15" s="3"/>
      <c r="N15" s="28" t="s">
        <v>226</v>
      </c>
      <c r="O15" s="96"/>
      <c r="P15" s="3"/>
    </row>
    <row r="16" spans="1:16">
      <c r="A16" s="15"/>
      <c r="B16" s="95"/>
      <c r="C16" s="119" t="s">
        <v>430</v>
      </c>
      <c r="D16" s="120"/>
      <c r="E16" s="121"/>
      <c r="F16" s="171">
        <v>1009</v>
      </c>
      <c r="G16" s="133"/>
      <c r="H16" s="23" t="s">
        <v>65</v>
      </c>
      <c r="I16" s="45" t="str">
        <f>IF(ISTEXT(G16),"No text please",IF(ISNUMBER(G16)," ", "Please enter a date"))</f>
        <v>Please enter a date</v>
      </c>
      <c r="J16" s="3"/>
      <c r="K16" s="3"/>
      <c r="L16" s="209"/>
      <c r="M16" s="3"/>
      <c r="N16" s="211"/>
      <c r="O16" s="96"/>
      <c r="P16" s="3"/>
    </row>
    <row r="17" spans="1:16">
      <c r="A17" s="15"/>
      <c r="B17" s="95"/>
      <c r="C17" s="119" t="s">
        <v>431</v>
      </c>
      <c r="D17" s="120"/>
      <c r="E17" s="121"/>
      <c r="F17" s="171">
        <v>1010</v>
      </c>
      <c r="G17" s="182"/>
      <c r="H17" s="23" t="s">
        <v>66</v>
      </c>
      <c r="I17" s="45" t="str">
        <f>IF(ISNUMBER(G17),"No numbers please",IF(ISTEXT(G17)," ","Please enter a value"))</f>
        <v>Please enter a value</v>
      </c>
      <c r="J17" s="3"/>
      <c r="K17" s="3"/>
      <c r="L17" s="209"/>
      <c r="M17" s="3"/>
      <c r="N17" s="211"/>
      <c r="O17" s="96"/>
      <c r="P17" s="3"/>
    </row>
    <row r="18" spans="1:16">
      <c r="A18" s="15"/>
      <c r="B18" s="95"/>
      <c r="C18" s="119" t="s">
        <v>432</v>
      </c>
      <c r="D18" s="120"/>
      <c r="E18" s="121"/>
      <c r="F18" s="171">
        <v>1011</v>
      </c>
      <c r="G18" s="183"/>
      <c r="H18" s="23" t="s">
        <v>67</v>
      </c>
      <c r="I18" s="45" t="str">
        <f>IF(ISNUMBER(G18),"No numbers please",IF(ISTEXT(G18)," ","Please enter a value"))</f>
        <v>Please enter a value</v>
      </c>
      <c r="J18" s="3"/>
      <c r="K18" s="3"/>
      <c r="L18" s="209"/>
      <c r="M18" s="3"/>
      <c r="N18" s="211"/>
      <c r="O18" s="96"/>
      <c r="P18" s="3"/>
    </row>
    <row r="19" spans="1:16">
      <c r="A19" s="15"/>
      <c r="B19" s="140"/>
      <c r="C19" s="141"/>
      <c r="D19" s="141"/>
      <c r="E19" s="132"/>
      <c r="F19" s="142"/>
      <c r="G19" s="132"/>
      <c r="H19" s="143"/>
      <c r="I19" s="132"/>
      <c r="J19" s="132"/>
      <c r="K19" s="132"/>
      <c r="L19" s="132"/>
      <c r="M19" s="132"/>
      <c r="N19" s="132"/>
      <c r="O19" s="144"/>
      <c r="P19" s="3"/>
    </row>
    <row r="20" spans="1:16" ht="15.75">
      <c r="A20" s="15"/>
      <c r="B20" s="59" t="s">
        <v>33</v>
      </c>
      <c r="C20" s="60"/>
      <c r="D20" s="60"/>
      <c r="E20" s="60"/>
      <c r="F20" s="60"/>
      <c r="G20" s="60"/>
      <c r="H20" s="92"/>
      <c r="I20" s="60"/>
      <c r="J20" s="60"/>
      <c r="K20" s="60"/>
      <c r="L20" s="60"/>
      <c r="M20" s="60"/>
      <c r="N20" s="60"/>
      <c r="O20" s="61"/>
      <c r="P20" s="3"/>
    </row>
    <row r="21" spans="1:16">
      <c r="A21" s="15"/>
      <c r="B21" s="145"/>
      <c r="C21" s="146"/>
      <c r="D21" s="146"/>
      <c r="E21" s="147"/>
      <c r="F21" s="148"/>
      <c r="G21" s="147"/>
      <c r="H21" s="149"/>
      <c r="I21" s="147"/>
      <c r="J21" s="147"/>
      <c r="K21" s="147"/>
      <c r="L21" s="147"/>
      <c r="M21" s="147"/>
      <c r="N21" s="147"/>
      <c r="O21" s="150"/>
      <c r="P21" s="3"/>
    </row>
    <row r="22" spans="1:16">
      <c r="A22" s="15"/>
      <c r="B22" s="95"/>
      <c r="C22" s="49" t="s">
        <v>363</v>
      </c>
      <c r="D22" s="50"/>
      <c r="E22" s="51"/>
      <c r="F22" s="48" t="s">
        <v>206</v>
      </c>
      <c r="G22" s="410" t="s">
        <v>613</v>
      </c>
      <c r="H22" s="23"/>
      <c r="I22" s="28" t="s">
        <v>25</v>
      </c>
      <c r="J22" s="3"/>
      <c r="K22" s="28" t="s">
        <v>175</v>
      </c>
      <c r="L22" s="28" t="str">
        <f>L15</f>
        <v>Comments</v>
      </c>
      <c r="M22" s="3"/>
      <c r="N22" s="28" t="str">
        <f>N15</f>
        <v>Supervisor Comments</v>
      </c>
      <c r="O22" s="96"/>
      <c r="P22" s="3"/>
    </row>
    <row r="23" spans="1:16">
      <c r="A23" s="15"/>
      <c r="B23" s="97"/>
      <c r="C23" s="52" t="s">
        <v>241</v>
      </c>
      <c r="D23" s="53"/>
      <c r="E23" s="54"/>
      <c r="F23" s="47">
        <v>1012</v>
      </c>
      <c r="G23" s="37"/>
      <c r="H23" s="23" t="s">
        <v>164</v>
      </c>
      <c r="I23" s="45" t="str">
        <f>IF(ISTEXT(G23),"No text please",IF(G23&lt;0,"No negatives please",IF(ISBLANK(G23),"Please enter a value",IF(AND(G23=0,ISERROR(FIND("zero",K23))),"Please confirm zero",IF(AND(G23&lt;&gt;0,K23="Confirmed zero"),"Value not zero"," ")))))</f>
        <v>Please enter a value</v>
      </c>
      <c r="J23" s="3"/>
      <c r="K23" s="31"/>
      <c r="L23" s="209"/>
      <c r="M23" s="3"/>
      <c r="N23" s="211"/>
      <c r="O23" s="96"/>
      <c r="P23" s="3"/>
    </row>
    <row r="24" spans="1:16">
      <c r="A24" s="15"/>
      <c r="B24" s="97"/>
      <c r="C24" s="52" t="s">
        <v>56</v>
      </c>
      <c r="D24" s="53"/>
      <c r="E24" s="54"/>
      <c r="F24" s="171">
        <v>1013</v>
      </c>
      <c r="G24" s="38"/>
      <c r="H24" s="23" t="s">
        <v>41</v>
      </c>
      <c r="I24" s="45" t="str">
        <f>IF(ISTEXT(G24),"No text please",IF(G24&lt;0,"No negatives please",IF(ISBLANK(G24),"Please enter a value",IF(AND(G24=0,ISERROR(FIND("zero",K24))),"Please confirm zero",IF(AND(G24&lt;&gt;0,K24="Confirmed zero"),"Value not zero"," ")))))</f>
        <v>Please enter a value</v>
      </c>
      <c r="J24" s="3"/>
      <c r="K24" s="31"/>
      <c r="L24" s="209"/>
      <c r="M24" s="3"/>
      <c r="N24" s="211"/>
      <c r="O24" s="96"/>
      <c r="P24" s="3"/>
    </row>
    <row r="25" spans="1:16">
      <c r="A25" s="15"/>
      <c r="B25" s="97"/>
      <c r="C25" s="52" t="s">
        <v>57</v>
      </c>
      <c r="D25" s="53"/>
      <c r="E25" s="55"/>
      <c r="F25" s="171">
        <v>1014</v>
      </c>
      <c r="G25" s="208"/>
      <c r="H25" s="23" t="s">
        <v>42</v>
      </c>
      <c r="I25" s="45" t="str">
        <f>IF(ISTEXT(G25),"No text please",IF(G25&lt;0,"No negatives please",IF(ISBLANK(G25),"Please enter a value",IF(AND(G25=0,ISERROR(FIND("zero",K25))),"Please confirm zero",IF(AND(G25&lt;&gt;0,K25="Confirmed zero"),"Value not zero"," ")))))</f>
        <v>Please enter a value</v>
      </c>
      <c r="J25" s="3"/>
      <c r="K25" s="31"/>
      <c r="L25" s="209"/>
      <c r="M25" s="3"/>
      <c r="N25" s="211"/>
      <c r="O25" s="96"/>
      <c r="P25" s="3"/>
    </row>
    <row r="26" spans="1:16">
      <c r="A26" s="15"/>
      <c r="B26" s="97"/>
      <c r="C26" s="52" t="s">
        <v>58</v>
      </c>
      <c r="D26" s="53"/>
      <c r="E26" s="55"/>
      <c r="F26" s="47">
        <v>1015</v>
      </c>
      <c r="G26" s="208"/>
      <c r="H26" s="23" t="s">
        <v>43</v>
      </c>
      <c r="I26" s="45" t="str">
        <f>IF(ISTEXT(G26),"No text please",IF(G26&lt;0,"No negatives please",IF(ISBLANK(G26),"Please enter a value",IF(AND(G26=0,ISERROR(FIND("zero",K26))),"Please confirm zero",IF(AND(G26&lt;&gt;0,K26="Confirmed zero"),"Value not zero"," ")))))</f>
        <v>Please enter a value</v>
      </c>
      <c r="J26" s="3"/>
      <c r="K26" s="31"/>
      <c r="L26" s="209"/>
      <c r="M26" s="3"/>
      <c r="N26" s="211"/>
      <c r="O26" s="96"/>
      <c r="P26" s="3"/>
    </row>
    <row r="27" spans="1:16">
      <c r="A27" s="15"/>
      <c r="B27" s="98"/>
      <c r="C27" s="172" t="s">
        <v>30</v>
      </c>
      <c r="D27" s="56"/>
      <c r="E27" s="55"/>
      <c r="F27" s="171">
        <v>1016</v>
      </c>
      <c r="G27" s="38"/>
      <c r="H27" s="23" t="s">
        <v>92</v>
      </c>
      <c r="I27" s="45" t="str">
        <f>IF(ISTEXT(G27),"No text please",IF(G27&lt;0,"No negatives please",IF(ISBLANK(G27),"Please enter a value",IF(AND(G27=0,ISERROR(FIND("zero",K27))),"Please confirm zero",IF(AND(G27&lt;&gt;0,K27="Confirmed zero"),"Value not zero"," ")))))</f>
        <v>Please enter a value</v>
      </c>
      <c r="J27" s="3"/>
      <c r="K27" s="31"/>
      <c r="L27" s="209"/>
      <c r="M27" s="3"/>
      <c r="N27" s="211"/>
      <c r="O27" s="96"/>
      <c r="P27" s="3"/>
    </row>
    <row r="28" spans="1:16">
      <c r="A28" s="15"/>
      <c r="B28" s="97"/>
      <c r="C28" s="57" t="s">
        <v>243</v>
      </c>
      <c r="D28" s="58"/>
      <c r="E28" s="55"/>
      <c r="F28" s="171">
        <v>1017</v>
      </c>
      <c r="G28" s="39" t="str">
        <f>IF(COUNTIF(I23:I27,"&lt;&gt; ")=0,SUM(G23,G24,G25,MAX((G26-G27),0)),"")</f>
        <v/>
      </c>
      <c r="H28" s="23" t="s">
        <v>44</v>
      </c>
      <c r="I28" s="32"/>
      <c r="J28" s="3"/>
      <c r="K28" s="32"/>
      <c r="L28" s="32"/>
      <c r="M28" s="3"/>
      <c r="N28" s="32"/>
      <c r="O28" s="96"/>
      <c r="P28" s="3"/>
    </row>
    <row r="29" spans="1:16">
      <c r="A29" s="15"/>
      <c r="B29" s="97"/>
      <c r="C29" s="52" t="s">
        <v>242</v>
      </c>
      <c r="D29" s="53"/>
      <c r="E29" s="54"/>
      <c r="F29" s="47">
        <v>1018</v>
      </c>
      <c r="G29" s="38"/>
      <c r="H29" s="21" t="s">
        <v>165</v>
      </c>
      <c r="I29" s="45" t="str">
        <f>IF(ISTEXT(G29),"No text please",IF(G29&lt;0,"No negatives please",IF(ISBLANK(G29),"Please enter a value",IF(AND(G29=0,ISERROR(FIND("zero",K29))),"Please confirm zero",IF(AND(G29&lt;&gt;0,K29="Confirmed zero"),"Value not zero"," ")))))</f>
        <v>Please enter a value</v>
      </c>
      <c r="J29" s="3"/>
      <c r="K29" s="31"/>
      <c r="L29" s="209"/>
      <c r="M29" s="3"/>
      <c r="N29" s="211"/>
      <c r="O29" s="96"/>
      <c r="P29" s="3"/>
    </row>
    <row r="30" spans="1:16">
      <c r="A30" s="15"/>
      <c r="B30" s="97"/>
      <c r="C30" s="52" t="s">
        <v>401</v>
      </c>
      <c r="D30" s="53"/>
      <c r="E30" s="54"/>
      <c r="F30" s="171">
        <v>1019</v>
      </c>
      <c r="G30" s="38"/>
      <c r="H30" s="21" t="s">
        <v>45</v>
      </c>
      <c r="I30" s="45" t="str">
        <f>IF(ISTEXT(G30),"No text please",IF(G30&lt;0,"No negatives please",IF(ISBLANK(G30),"Please enter a value",IF(AND(G30=0,ISERROR(FIND("zero",K30))),"Please confirm zero",IF(AND(G30&lt;&gt;0,K30="Confirmed zero"),"Value not zero",IF($G$30&lt;SUM($G$31:$G$32),"&lt; 2.g.(1) + 2.g.(2)"," "))))))</f>
        <v>Please enter a value</v>
      </c>
      <c r="J30" s="3"/>
      <c r="K30" s="31"/>
      <c r="L30" s="209"/>
      <c r="M30" s="3"/>
      <c r="N30" s="211"/>
      <c r="O30" s="96"/>
      <c r="P30" s="3"/>
    </row>
    <row r="31" spans="1:16">
      <c r="A31" s="15"/>
      <c r="B31" s="97"/>
      <c r="C31" s="172" t="s">
        <v>31</v>
      </c>
      <c r="D31" s="56"/>
      <c r="E31" s="55"/>
      <c r="F31" s="171">
        <v>1020</v>
      </c>
      <c r="G31" s="38"/>
      <c r="H31" s="21" t="s">
        <v>95</v>
      </c>
      <c r="I31" s="45" t="str">
        <f>IF(ISTEXT(G31),"No text please",IF(G31&lt;0,"No negatives please",IF(ISBLANK(G31),"Please enter a value",IF(AND(G31=0,ISERROR(FIND("zero",K31))),"Please confirm zero",IF(AND(G31&lt;&gt;0,K31="Confirmed zero"),"Value not zero",IF($G$30&lt;$G$31,"&gt; 2.g."," "))))))</f>
        <v>Please enter a value</v>
      </c>
      <c r="J31" s="3"/>
      <c r="K31" s="31"/>
      <c r="L31" s="209"/>
      <c r="M31" s="3"/>
      <c r="N31" s="211"/>
      <c r="O31" s="96"/>
      <c r="P31" s="3"/>
    </row>
    <row r="32" spans="1:16">
      <c r="A32" s="15"/>
      <c r="B32" s="97"/>
      <c r="C32" s="172" t="s">
        <v>32</v>
      </c>
      <c r="D32" s="56"/>
      <c r="E32" s="55"/>
      <c r="F32" s="47">
        <v>1021</v>
      </c>
      <c r="G32" s="38"/>
      <c r="H32" s="21" t="s">
        <v>96</v>
      </c>
      <c r="I32" s="45" t="str">
        <f>IF(ISTEXT(G32),"No text please",IF(G32&lt;0,"No negatives please",IF(ISBLANK(G32),"Please enter a value",IF(AND(G32=0,ISERROR(FIND("zero",K32))),"Please confirm zero",IF(AND(G32&lt;&gt;0,K32="Confirmed zero"),"Value not zero",IF($G$30&lt;$G$32,"&gt; 2.g."," "))))))</f>
        <v>Please enter a value</v>
      </c>
      <c r="J32" s="3"/>
      <c r="K32" s="31"/>
      <c r="L32" s="209"/>
      <c r="M32" s="3"/>
      <c r="N32" s="211"/>
      <c r="O32" s="96"/>
      <c r="P32" s="3"/>
    </row>
    <row r="33" spans="1:16">
      <c r="A33" s="15"/>
      <c r="B33" s="97"/>
      <c r="C33" s="52" t="s">
        <v>402</v>
      </c>
      <c r="D33" s="53"/>
      <c r="E33" s="55"/>
      <c r="F33" s="171">
        <v>1022</v>
      </c>
      <c r="G33" s="208"/>
      <c r="H33" s="21" t="s">
        <v>97</v>
      </c>
      <c r="I33" s="45" t="str">
        <f>IF(ISTEXT(G33),"No text please",IF(G33&lt;0,"No negatives please",IF(ISBLANK(G33),"Please enter a value",IF(AND(G33=0,ISERROR(FIND("zero",K33))),"Please confirm zero",IF(AND(G33&lt;&gt;0,K33="Confirmed zero"),"Value not zero"," ")))))</f>
        <v>Please enter a value</v>
      </c>
      <c r="J33" s="3"/>
      <c r="K33" s="31"/>
      <c r="L33" s="209"/>
      <c r="M33" s="3"/>
      <c r="N33" s="211"/>
      <c r="O33" s="96"/>
      <c r="P33" s="3"/>
    </row>
    <row r="34" spans="1:16">
      <c r="A34" s="15"/>
      <c r="B34" s="97"/>
      <c r="C34" s="52" t="s">
        <v>403</v>
      </c>
      <c r="D34" s="53"/>
      <c r="E34" s="55"/>
      <c r="F34" s="171">
        <v>1023</v>
      </c>
      <c r="G34" s="38"/>
      <c r="H34" s="21" t="s">
        <v>98</v>
      </c>
      <c r="I34" s="45" t="str">
        <f>IF(ISTEXT(G34),"No text please",IF(G34&lt;0,"No negatives please",IF(ISBLANK(G34),"Please enter a value",IF(AND(G34=0,ISERROR(FIND("zero",K34))),"Please confirm zero",IF(AND(G34&lt;&gt;0,K34="Confirmed zero"),"Value not zero"," ")))))</f>
        <v>Please enter a value</v>
      </c>
      <c r="J34" s="3"/>
      <c r="K34" s="31"/>
      <c r="L34" s="209"/>
      <c r="M34" s="3"/>
      <c r="N34" s="211"/>
      <c r="O34" s="96"/>
      <c r="P34" s="3"/>
    </row>
    <row r="35" spans="1:16">
      <c r="A35" s="15"/>
      <c r="B35" s="97"/>
      <c r="C35" s="52" t="s">
        <v>404</v>
      </c>
      <c r="D35" s="53"/>
      <c r="E35" s="55"/>
      <c r="F35" s="47">
        <v>1024</v>
      </c>
      <c r="G35" s="38"/>
      <c r="H35" s="21" t="s">
        <v>99</v>
      </c>
      <c r="I35" s="45" t="str">
        <f>IF(ISTEXT(G35),"No text please",IF(G35&lt;0,"No negatives please",IF(ISBLANK(G35),"Please enter a value",IF(AND(G35=0,ISERROR(FIND("zero",K35))),"Please confirm zero",IF(AND(G35&lt;&gt;0,K35="Confirmed zero"),"Value not zero"," ")))))</f>
        <v>Please enter a value</v>
      </c>
      <c r="J35" s="3"/>
      <c r="K35" s="31"/>
      <c r="L35" s="209"/>
      <c r="M35" s="3"/>
      <c r="N35" s="211"/>
      <c r="O35" s="96"/>
      <c r="P35" s="3"/>
    </row>
    <row r="36" spans="1:16" ht="12.75" customHeight="1">
      <c r="A36" s="15"/>
      <c r="B36" s="97"/>
      <c r="C36" s="423" t="s">
        <v>246</v>
      </c>
      <c r="D36" s="424"/>
      <c r="E36" s="425"/>
      <c r="F36" s="33"/>
      <c r="G36" s="32"/>
      <c r="H36" s="21"/>
      <c r="I36" s="32"/>
      <c r="J36" s="3"/>
      <c r="K36" s="32"/>
      <c r="L36" s="32"/>
      <c r="M36" s="3"/>
      <c r="N36" s="32"/>
      <c r="O36" s="96"/>
      <c r="P36" s="3"/>
    </row>
    <row r="37" spans="1:16">
      <c r="A37" s="15"/>
      <c r="B37" s="97"/>
      <c r="C37" s="423"/>
      <c r="D37" s="424"/>
      <c r="E37" s="425"/>
      <c r="F37" s="40">
        <v>1025</v>
      </c>
      <c r="G37" s="41" t="str">
        <f>IF(COUNTIF(I29:I35,"&lt;&gt; ")=0,SUM(G29,((G31+G32)*0.1),(G30-(G31+G32)),G33,G34,G35,),"")</f>
        <v/>
      </c>
      <c r="H37" s="21" t="s">
        <v>100</v>
      </c>
      <c r="I37" s="32"/>
      <c r="J37" s="3"/>
      <c r="K37" s="32"/>
      <c r="L37" s="32"/>
      <c r="M37" s="3"/>
      <c r="N37" s="32"/>
      <c r="O37" s="96"/>
      <c r="P37" s="3"/>
    </row>
    <row r="38" spans="1:16">
      <c r="A38" s="15"/>
      <c r="B38" s="98"/>
      <c r="C38" s="52" t="s">
        <v>93</v>
      </c>
      <c r="D38" s="53"/>
      <c r="E38" s="55"/>
      <c r="F38" s="33"/>
      <c r="G38" s="32"/>
      <c r="H38" s="21"/>
      <c r="I38" s="32"/>
      <c r="J38" s="3"/>
      <c r="K38" s="32"/>
      <c r="L38" s="32"/>
      <c r="M38" s="3"/>
      <c r="N38" s="32"/>
      <c r="O38" s="96"/>
      <c r="P38" s="3"/>
    </row>
    <row r="39" spans="1:16">
      <c r="A39" s="15"/>
      <c r="B39" s="98"/>
      <c r="C39" s="172" t="s">
        <v>244</v>
      </c>
      <c r="D39" s="56"/>
      <c r="E39" s="54"/>
      <c r="F39" s="171">
        <v>1026</v>
      </c>
      <c r="G39" s="38"/>
      <c r="H39" s="21" t="s">
        <v>101</v>
      </c>
      <c r="I39" s="45" t="str">
        <f>IF(ISTEXT(G39),"No text please",IF(G39&lt;0,"No negatives please",IF(ISBLANK(G39),"Please enter a value",IF(AND(G39=0,ISERROR(FIND("zero",K39))),"Please confirm zero",IF(AND(G39&lt;&gt;0,K39="Confirmed zero"),"Value not zero"," ")))))</f>
        <v>Please enter a value</v>
      </c>
      <c r="J39" s="3"/>
      <c r="K39" s="31"/>
      <c r="L39" s="209"/>
      <c r="M39" s="3"/>
      <c r="N39" s="211"/>
      <c r="O39" s="96"/>
      <c r="P39" s="3"/>
    </row>
    <row r="40" spans="1:16">
      <c r="A40" s="15"/>
      <c r="B40" s="98"/>
      <c r="C40" s="172" t="s">
        <v>68</v>
      </c>
      <c r="D40" s="56"/>
      <c r="E40" s="54"/>
      <c r="F40" s="171">
        <v>1027</v>
      </c>
      <c r="G40" s="38"/>
      <c r="H40" s="21" t="s">
        <v>102</v>
      </c>
      <c r="I40" s="45" t="str">
        <f>IF(ISTEXT(G40),"No text please",IF(G40&lt;0,"No negatives please",IF(ISBLANK(G40),"Please enter a value",IF(AND(G40=0,ISERROR(FIND("zero",K40))),"Please confirm zero",IF(AND(G40&lt;&gt;0,K40="Confirmed zero"),"Value not zero"," ")))))</f>
        <v>Please enter a value</v>
      </c>
      <c r="J40" s="3"/>
      <c r="K40" s="31"/>
      <c r="L40" s="209"/>
      <c r="M40" s="3"/>
      <c r="N40" s="211"/>
      <c r="O40" s="96"/>
      <c r="P40" s="3"/>
    </row>
    <row r="41" spans="1:16">
      <c r="A41" s="15"/>
      <c r="B41" s="98"/>
      <c r="C41" s="172" t="s">
        <v>69</v>
      </c>
      <c r="D41" s="56"/>
      <c r="E41" s="54"/>
      <c r="F41" s="171">
        <v>1028</v>
      </c>
      <c r="G41" s="38"/>
      <c r="H41" s="21" t="s">
        <v>103</v>
      </c>
      <c r="I41" s="45" t="str">
        <f>IF(ISTEXT(G41),"No text please",IF(G41&lt;0,"No negatives please",IF(ISBLANK(G41),"Please enter a value",IF(AND(G41=0,ISERROR(FIND("zero",K41))),"Please confirm zero",IF(AND(G41&lt;&gt;0,K41="Confirmed zero"),"Value not zero"," ")))))</f>
        <v>Please enter a value</v>
      </c>
      <c r="J41" s="3"/>
      <c r="K41" s="31"/>
      <c r="L41" s="209"/>
      <c r="M41" s="3"/>
      <c r="N41" s="211"/>
      <c r="O41" s="96"/>
      <c r="P41" s="3"/>
    </row>
    <row r="42" spans="1:16">
      <c r="A42" s="15"/>
      <c r="B42" s="98"/>
      <c r="C42" s="172" t="s">
        <v>245</v>
      </c>
      <c r="D42" s="56"/>
      <c r="E42" s="54"/>
      <c r="F42" s="171">
        <v>1029</v>
      </c>
      <c r="G42" s="38"/>
      <c r="H42" s="21" t="s">
        <v>104</v>
      </c>
      <c r="I42" s="45" t="str">
        <f>IF(ISTEXT(G42),"No text please",IF(G42&lt;0,"No negatives please",IF(ISBLANK(G42),"Please enter a value",IF(AND(G42=0,ISERROR(FIND("zero",K42))),"Please confirm zero",IF(AND(G42&lt;&gt;0,K42="Confirmed zero"),"Value not zero"," ")))))</f>
        <v>Please enter a value</v>
      </c>
      <c r="J42" s="3"/>
      <c r="K42" s="31"/>
      <c r="L42" s="209"/>
      <c r="M42" s="3"/>
      <c r="N42" s="211"/>
      <c r="O42" s="96"/>
      <c r="P42" s="3"/>
    </row>
    <row r="43" spans="1:16">
      <c r="A43" s="15"/>
      <c r="B43" s="98"/>
      <c r="C43" s="172" t="s">
        <v>70</v>
      </c>
      <c r="D43" s="56"/>
      <c r="E43" s="54"/>
      <c r="F43" s="171">
        <v>1030</v>
      </c>
      <c r="G43" s="38"/>
      <c r="H43" s="21" t="s">
        <v>105</v>
      </c>
      <c r="I43" s="45" t="str">
        <f>IF(ISTEXT(G43),"No text please",IF(G43&lt;0,"No negatives please",IF(ISBLANK(G43),"Please enter a value",IF(AND(G43=0,ISERROR(FIND("zero",K43))),"Please confirm zero",IF(AND(G43&lt;&gt;0,K43="Confirmed zero"),"Value not zero"," ")))))</f>
        <v>Please enter a value</v>
      </c>
      <c r="J43" s="3"/>
      <c r="K43" s="31"/>
      <c r="L43" s="209"/>
      <c r="M43" s="3"/>
      <c r="N43" s="211"/>
      <c r="O43" s="96"/>
      <c r="P43" s="3"/>
    </row>
    <row r="44" spans="1:16" ht="15.75">
      <c r="A44" s="15"/>
      <c r="B44" s="99"/>
      <c r="C44" s="52" t="s">
        <v>94</v>
      </c>
      <c r="D44" s="53"/>
      <c r="E44" s="54"/>
      <c r="F44" s="171">
        <v>1031</v>
      </c>
      <c r="G44" s="208"/>
      <c r="H44" s="21" t="s">
        <v>106</v>
      </c>
      <c r="I44" s="45" t="str">
        <f>IF(ISTEXT(G44),"No text please",IF(ISBLANK(G44),"Please enter a value",IF(AND(G44=0,ISERROR(FIND("zero",K44))),"Please confirm zero",IF(AND(G44&lt;&gt;0,K44="Confirmed zero"),"Value not zero"," "))))</f>
        <v>Please enter a value</v>
      </c>
      <c r="J44" s="3"/>
      <c r="K44" s="31"/>
      <c r="L44" s="209"/>
      <c r="M44" s="3"/>
      <c r="N44" s="211"/>
      <c r="O44" s="96"/>
      <c r="P44" s="3"/>
    </row>
    <row r="45" spans="1:16" ht="12.75" customHeight="1">
      <c r="A45" s="26"/>
      <c r="B45" s="100"/>
      <c r="C45" s="429" t="s">
        <v>253</v>
      </c>
      <c r="D45" s="429"/>
      <c r="E45" s="429"/>
      <c r="F45" s="33"/>
      <c r="G45" s="32"/>
      <c r="H45" s="23"/>
      <c r="I45" s="3"/>
      <c r="J45" s="135"/>
      <c r="K45" s="3"/>
      <c r="L45" s="3"/>
      <c r="M45" s="135"/>
      <c r="N45" s="3"/>
      <c r="O45" s="101"/>
      <c r="P45" s="3"/>
    </row>
    <row r="46" spans="1:16" ht="15.75">
      <c r="A46" s="15"/>
      <c r="B46" s="102"/>
      <c r="C46" s="429"/>
      <c r="D46" s="429"/>
      <c r="E46" s="429"/>
      <c r="F46" s="171">
        <v>1032</v>
      </c>
      <c r="G46" s="43" t="str">
        <f>IF(AND(COUNTIF(I39:I44,"&lt;&gt; ")=0,ISNUMBER(G28),ISNUMBER(G37)),SUM(G28,G37,G39:G40,G41*0.1,G42,-G43,-G44),"")</f>
        <v/>
      </c>
      <c r="H46" s="21" t="s">
        <v>614</v>
      </c>
      <c r="I46" s="3"/>
      <c r="J46" s="3"/>
      <c r="K46" s="3"/>
      <c r="L46" s="3"/>
      <c r="M46" s="3"/>
      <c r="N46" s="3"/>
      <c r="O46" s="96"/>
      <c r="P46" s="3"/>
    </row>
    <row r="47" spans="1:16" ht="19.5">
      <c r="A47" s="15"/>
      <c r="B47" s="151"/>
      <c r="C47" s="131"/>
      <c r="D47" s="131"/>
      <c r="E47" s="130"/>
      <c r="F47" s="152"/>
      <c r="G47" s="153"/>
      <c r="H47" s="154"/>
      <c r="I47" s="132"/>
      <c r="J47" s="132"/>
      <c r="K47" s="155"/>
      <c r="L47" s="132"/>
      <c r="M47" s="132"/>
      <c r="N47" s="132"/>
      <c r="O47" s="144"/>
      <c r="P47" s="3"/>
    </row>
    <row r="48" spans="1:16" ht="15.75">
      <c r="A48" s="15"/>
      <c r="B48" s="59" t="s">
        <v>91</v>
      </c>
      <c r="C48" s="60"/>
      <c r="D48" s="60"/>
      <c r="E48" s="60"/>
      <c r="F48" s="60"/>
      <c r="G48" s="60"/>
      <c r="H48" s="92"/>
      <c r="I48" s="60"/>
      <c r="J48" s="60"/>
      <c r="K48" s="60"/>
      <c r="L48" s="60"/>
      <c r="M48" s="60"/>
      <c r="N48" s="60"/>
      <c r="O48" s="61"/>
      <c r="P48" s="3"/>
    </row>
    <row r="49" spans="1:16" ht="19.5">
      <c r="A49" s="15"/>
      <c r="B49" s="156"/>
      <c r="C49" s="157"/>
      <c r="D49" s="157"/>
      <c r="E49" s="158"/>
      <c r="F49" s="159"/>
      <c r="G49" s="160"/>
      <c r="H49" s="161"/>
      <c r="I49" s="160"/>
      <c r="J49" s="147"/>
      <c r="K49" s="162"/>
      <c r="L49" s="160"/>
      <c r="M49" s="147"/>
      <c r="N49" s="160"/>
      <c r="O49" s="150"/>
      <c r="P49" s="3"/>
    </row>
    <row r="50" spans="1:16">
      <c r="A50" s="15"/>
      <c r="B50" s="95"/>
      <c r="C50" s="49" t="s">
        <v>364</v>
      </c>
      <c r="D50" s="50"/>
      <c r="E50" s="51"/>
      <c r="F50" s="48" t="s">
        <v>206</v>
      </c>
      <c r="G50" s="410" t="str">
        <f>G$22</f>
        <v>Amount</v>
      </c>
      <c r="H50" s="23"/>
      <c r="I50" s="28" t="str">
        <f>I$22</f>
        <v>Checks</v>
      </c>
      <c r="J50" s="3"/>
      <c r="K50" s="28" t="str">
        <f>K$22</f>
        <v>Remarks</v>
      </c>
      <c r="L50" s="28" t="str">
        <f>L$22</f>
        <v>Comments</v>
      </c>
      <c r="M50" s="3"/>
      <c r="N50" s="28" t="str">
        <f>N$22</f>
        <v>Supervisor Comments</v>
      </c>
      <c r="O50" s="96"/>
      <c r="P50" s="3"/>
    </row>
    <row r="51" spans="1:16">
      <c r="A51" s="26"/>
      <c r="B51" s="100"/>
      <c r="C51" s="52" t="s">
        <v>410</v>
      </c>
      <c r="D51" s="53"/>
      <c r="E51" s="54"/>
      <c r="F51" s="171">
        <v>1033</v>
      </c>
      <c r="G51" s="38"/>
      <c r="H51" s="23" t="s">
        <v>46</v>
      </c>
      <c r="I51" s="45" t="str">
        <f>IF(ISTEXT(G51),"No text please",IF(G51&lt;0,"No negatives please",IF(ISBLANK(G51),"Please enter a value",IF(AND(G51=0,ISERROR(FIND("zero",K51))),"Please confirm zero",IF(AND(G51&lt;&gt;0,K51="Confirmed zero"),"Value not zero",IF($G$51&lt;$G$52,"&lt; 3.a.(1)"," "))))))</f>
        <v>Please enter a value</v>
      </c>
      <c r="J51" s="135"/>
      <c r="K51" s="31"/>
      <c r="L51" s="209"/>
      <c r="M51" s="135"/>
      <c r="N51" s="211"/>
      <c r="O51" s="101"/>
      <c r="P51" s="3"/>
    </row>
    <row r="52" spans="1:16">
      <c r="A52" s="26"/>
      <c r="B52" s="100"/>
      <c r="C52" s="172" t="s">
        <v>172</v>
      </c>
      <c r="D52" s="56"/>
      <c r="E52" s="54"/>
      <c r="F52" s="171">
        <v>1034</v>
      </c>
      <c r="G52" s="38"/>
      <c r="H52" s="23" t="s">
        <v>173</v>
      </c>
      <c r="I52" s="45" t="str">
        <f>IF(ISTEXT(G52),"No text please",IF(G52&lt;0,"No negatives please",IF(ISBLANK(G52),"Please enter a value",IF(AND(G52=0,ISERROR(FIND("zero",K52))),"Please confirm zero",IF(AND(G52&lt;&gt;0,K52="Confirmed zero"),"Value not zero",IF($G$51&lt;$G$52,"&gt; 3.a."," "))))))</f>
        <v>Please enter a value</v>
      </c>
      <c r="J52" s="135"/>
      <c r="K52" s="31"/>
      <c r="L52" s="209"/>
      <c r="M52" s="135"/>
      <c r="N52" s="211"/>
      <c r="O52" s="101"/>
      <c r="P52" s="3"/>
    </row>
    <row r="53" spans="1:16">
      <c r="A53" s="26"/>
      <c r="B53" s="100"/>
      <c r="C53" s="52" t="s">
        <v>409</v>
      </c>
      <c r="D53" s="53"/>
      <c r="E53" s="54"/>
      <c r="F53" s="171">
        <v>1035</v>
      </c>
      <c r="G53" s="38"/>
      <c r="H53" s="23" t="s">
        <v>47</v>
      </c>
      <c r="I53" s="45" t="str">
        <f>IF(ISTEXT(G53),"No text please",IF(G53&lt;0,"No negatives please",IF(ISBLANK(G53),"Please enter a value",IF(AND(G53=0,ISERROR(FIND("zero",K53))),"Please confirm zero",IF(AND(G53&lt;&gt;0,K53="Confirmed zero"),"Value not zero"," ")))))</f>
        <v>Please enter a value</v>
      </c>
      <c r="J53" s="135"/>
      <c r="K53" s="31"/>
      <c r="L53" s="209"/>
      <c r="M53" s="135"/>
      <c r="N53" s="211"/>
      <c r="O53" s="101"/>
      <c r="P53" s="3"/>
    </row>
    <row r="54" spans="1:16">
      <c r="A54" s="15"/>
      <c r="B54" s="100"/>
      <c r="C54" s="52" t="s">
        <v>411</v>
      </c>
      <c r="D54" s="53"/>
      <c r="E54" s="54"/>
      <c r="F54" s="33"/>
      <c r="G54" s="32"/>
      <c r="H54" s="23"/>
      <c r="I54" s="32"/>
      <c r="J54" s="3"/>
      <c r="K54" s="32"/>
      <c r="L54" s="32"/>
      <c r="M54" s="3"/>
      <c r="N54" s="32"/>
      <c r="O54" s="96"/>
      <c r="P54" s="3"/>
    </row>
    <row r="55" spans="1:16">
      <c r="A55" s="26"/>
      <c r="B55" s="100"/>
      <c r="C55" s="172" t="s">
        <v>34</v>
      </c>
      <c r="D55" s="56"/>
      <c r="E55" s="54"/>
      <c r="F55" s="171">
        <v>1036</v>
      </c>
      <c r="G55" s="38"/>
      <c r="H55" s="23" t="s">
        <v>71</v>
      </c>
      <c r="I55" s="45" t="str">
        <f>IF(ISTEXT(G55),"No text please",IF(G55&lt;0,"No negatives please",IF(ISBLANK(G55),"Please enter a value",IF(AND(G55=0,ISERROR(FIND("zero",K55))),"Please confirm zero",IF(AND(G55&lt;&gt;0,K55="Confirmed zero"),"Value not zero"," ")))))</f>
        <v>Please enter a value</v>
      </c>
      <c r="J55" s="135"/>
      <c r="K55" s="31"/>
      <c r="L55" s="209"/>
      <c r="M55" s="135"/>
      <c r="N55" s="211"/>
      <c r="O55" s="101"/>
      <c r="P55" s="3"/>
    </row>
    <row r="56" spans="1:16">
      <c r="A56" s="26"/>
      <c r="B56" s="100"/>
      <c r="C56" s="172" t="s">
        <v>35</v>
      </c>
      <c r="D56" s="56"/>
      <c r="E56" s="54"/>
      <c r="F56" s="171">
        <v>1037</v>
      </c>
      <c r="G56" s="38"/>
      <c r="H56" s="23" t="s">
        <v>72</v>
      </c>
      <c r="I56" s="45" t="str">
        <f>IF(ISTEXT(G56),"No text please",IF(G56&lt;0,"No negatives please",IF(ISBLANK(G56),"Please enter a value",IF(AND(G56=0,ISERROR(FIND("zero",K56))),"Please confirm zero",IF(AND(G56&lt;&gt;0,K56="Confirmed zero"),"Value not zero"," ")))))</f>
        <v>Please enter a value</v>
      </c>
      <c r="J56" s="135"/>
      <c r="K56" s="31"/>
      <c r="L56" s="209"/>
      <c r="M56" s="135"/>
      <c r="N56" s="211"/>
      <c r="O56" s="101"/>
      <c r="P56" s="3"/>
    </row>
    <row r="57" spans="1:16">
      <c r="A57" s="26"/>
      <c r="B57" s="100"/>
      <c r="C57" s="172" t="s">
        <v>36</v>
      </c>
      <c r="D57" s="56"/>
      <c r="E57" s="54"/>
      <c r="F57" s="171">
        <v>1038</v>
      </c>
      <c r="G57" s="38"/>
      <c r="H57" s="23" t="s">
        <v>73</v>
      </c>
      <c r="I57" s="45" t="str">
        <f>IF(ISTEXT(G57),"No text please",IF(G57&lt;0,"No negatives please",IF(ISBLANK(G57),"Please enter a value",IF(AND(G57=0,ISERROR(FIND("zero",K57))),"Please confirm zero",IF(AND(G57&lt;&gt;0,K57="Confirmed zero"),"Value not zero"," ")))))</f>
        <v>Please enter a value</v>
      </c>
      <c r="J57" s="135"/>
      <c r="K57" s="31"/>
      <c r="L57" s="209"/>
      <c r="M57" s="135"/>
      <c r="N57" s="211"/>
      <c r="O57" s="101"/>
      <c r="P57" s="3"/>
    </row>
    <row r="58" spans="1:16">
      <c r="A58" s="26"/>
      <c r="B58" s="100"/>
      <c r="C58" s="172" t="s">
        <v>37</v>
      </c>
      <c r="D58" s="56"/>
      <c r="E58" s="54"/>
      <c r="F58" s="171">
        <v>1039</v>
      </c>
      <c r="G58" s="38"/>
      <c r="H58" s="23" t="s">
        <v>74</v>
      </c>
      <c r="I58" s="45" t="str">
        <f>IF(ISTEXT(G58),"No text please",IF(G58&lt;0,"No negatives please",IF(ISBLANK(G58),"Please enter a value",IF(AND(G58=0,ISERROR(FIND("zero",K58))),"Please confirm zero",IF(AND(G58&lt;&gt;0,K58="Confirmed zero"),"Value not zero"," ")))))</f>
        <v>Please enter a value</v>
      </c>
      <c r="J58" s="135"/>
      <c r="K58" s="31"/>
      <c r="L58" s="209"/>
      <c r="M58" s="135"/>
      <c r="N58" s="211"/>
      <c r="O58" s="101"/>
      <c r="P58" s="3"/>
    </row>
    <row r="59" spans="1:16">
      <c r="A59" s="26"/>
      <c r="B59" s="100"/>
      <c r="C59" s="172" t="s">
        <v>247</v>
      </c>
      <c r="D59" s="56"/>
      <c r="E59" s="54"/>
      <c r="F59" s="171">
        <v>1040</v>
      </c>
      <c r="G59" s="38"/>
      <c r="H59" s="23" t="s">
        <v>75</v>
      </c>
      <c r="I59" s="45" t="str">
        <f>IF(ISTEXT(G59),"No text please",IF(G59&lt;0,"No negatives please",IF(ISBLANK(G59),"Please enter a value",IF(AND(G59=0,ISERROR(FIND("zero",K59))),"Please confirm zero",IF(AND(G59&lt;&gt;0,K59="Confirmed zero"),"Value not zero",IF($G$59&lt;$G$60,"&lt; 3.c.(6)"," "))))))</f>
        <v>Please enter a value</v>
      </c>
      <c r="J59" s="135"/>
      <c r="K59" s="31"/>
      <c r="L59" s="209"/>
      <c r="M59" s="135"/>
      <c r="N59" s="211"/>
      <c r="O59" s="101"/>
      <c r="P59" s="3"/>
    </row>
    <row r="60" spans="1:16">
      <c r="A60" s="26"/>
      <c r="B60" s="100"/>
      <c r="C60" s="123" t="s">
        <v>388</v>
      </c>
      <c r="D60" s="124"/>
      <c r="E60" s="54"/>
      <c r="F60" s="171">
        <v>1041</v>
      </c>
      <c r="G60" s="38"/>
      <c r="H60" s="23" t="s">
        <v>76</v>
      </c>
      <c r="I60" s="45" t="str">
        <f>IF(ISTEXT(G60),"No text please",IF(G60&lt;0,"No negatives please",IF(ISBLANK(G60),"Please enter a value",IF(AND(G60=0,ISERROR(FIND("zero",K60))),"Please confirm zero",IF(AND(G60&lt;&gt;0,K60="Confirmed zero"),"Value not zero",IF($G$59&lt;$G$60,"&gt; 3.c.(5)"," "))))))</f>
        <v>Please enter a value</v>
      </c>
      <c r="J60" s="135"/>
      <c r="K60" s="31"/>
      <c r="L60" s="209"/>
      <c r="M60" s="135"/>
      <c r="N60" s="211"/>
      <c r="O60" s="101"/>
      <c r="P60" s="3"/>
    </row>
    <row r="61" spans="1:16">
      <c r="A61" s="26"/>
      <c r="B61" s="100"/>
      <c r="C61" s="52" t="s">
        <v>417</v>
      </c>
      <c r="D61" s="53"/>
      <c r="E61" s="54"/>
      <c r="F61" s="171">
        <v>1042</v>
      </c>
      <c r="G61" s="38"/>
      <c r="H61" s="23" t="s">
        <v>48</v>
      </c>
      <c r="I61" s="45" t="str">
        <f>IF(ISTEXT(G61),"No text please",IF(G61&lt;0,"No negatives please",IF(ISBLANK(G61),"Please enter a value",IF(AND(G61=0,ISERROR(FIND("zero",K61))),"Please confirm zero",IF(AND(G61&lt;&gt;0,K61="Confirmed zero"),"Value not zero"," ")))))</f>
        <v>Please enter a value</v>
      </c>
      <c r="J61" s="135"/>
      <c r="K61" s="31"/>
      <c r="L61" s="209"/>
      <c r="M61" s="135"/>
      <c r="N61" s="211"/>
      <c r="O61" s="101"/>
      <c r="P61" s="3"/>
    </row>
    <row r="62" spans="1:16">
      <c r="A62" s="15"/>
      <c r="B62" s="100"/>
      <c r="C62" s="52" t="s">
        <v>412</v>
      </c>
      <c r="D62" s="53"/>
      <c r="E62" s="54"/>
      <c r="F62" s="33"/>
      <c r="G62" s="32"/>
      <c r="H62" s="23"/>
      <c r="I62" s="32"/>
      <c r="J62" s="3"/>
      <c r="K62" s="32"/>
      <c r="L62" s="32"/>
      <c r="M62" s="3"/>
      <c r="N62" s="32"/>
      <c r="O62" s="96"/>
      <c r="P62" s="3"/>
    </row>
    <row r="63" spans="1:16">
      <c r="A63" s="26"/>
      <c r="B63" s="100"/>
      <c r="C63" s="172" t="s">
        <v>248</v>
      </c>
      <c r="D63" s="56"/>
      <c r="E63" s="54"/>
      <c r="F63" s="42">
        <v>1043</v>
      </c>
      <c r="G63" s="38"/>
      <c r="H63" s="23" t="s">
        <v>29</v>
      </c>
      <c r="I63" s="45" t="str">
        <f>IF(ISTEXT(G63),"No text please",IF(G63&lt;0,"No negatives please",IF(ISBLANK(G63),"Please enter a value",IF(AND(G63=0,ISERROR(FIND("zero",K63))),"Please confirm zero",IF(AND(G63&lt;&gt;0,K63="Confirmed zero"),"Value not zero"," ")))))</f>
        <v>Please enter a value</v>
      </c>
      <c r="J63" s="135"/>
      <c r="K63" s="31"/>
      <c r="L63" s="209"/>
      <c r="M63" s="135"/>
      <c r="N63" s="211"/>
      <c r="O63" s="101"/>
      <c r="P63" s="3"/>
    </row>
    <row r="64" spans="1:16">
      <c r="A64" s="26"/>
      <c r="B64" s="100"/>
      <c r="C64" s="172" t="s">
        <v>38</v>
      </c>
      <c r="D64" s="56"/>
      <c r="E64" s="54"/>
      <c r="F64" s="171">
        <v>1044</v>
      </c>
      <c r="G64" s="38"/>
      <c r="H64" s="23" t="s">
        <v>77</v>
      </c>
      <c r="I64" s="45" t="str">
        <f>IF(ISTEXT(G64),"No text please",IF(G64&lt;0,"No negatives please",IF(ISBLANK(G64),"Please enter a value",IF(AND(G64=0,ISERROR(FIND("zero",K64))),"Please confirm zero",IF(AND(G64&lt;&gt;0,K64="Confirmed zero"),"Value not zero"," ")))))</f>
        <v>Please enter a value</v>
      </c>
      <c r="J64" s="135"/>
      <c r="K64" s="31"/>
      <c r="L64" s="209"/>
      <c r="M64" s="135"/>
      <c r="N64" s="211"/>
      <c r="O64" s="101"/>
      <c r="P64" s="3"/>
    </row>
    <row r="65" spans="1:16" ht="12.75" customHeight="1">
      <c r="A65" s="26"/>
      <c r="B65" s="100"/>
      <c r="C65" s="426" t="s">
        <v>174</v>
      </c>
      <c r="D65" s="427"/>
      <c r="E65" s="428"/>
      <c r="F65" s="33"/>
      <c r="G65" s="32"/>
      <c r="H65" s="23"/>
      <c r="I65" s="3"/>
      <c r="J65" s="135"/>
      <c r="K65" s="3"/>
      <c r="L65" s="3"/>
      <c r="M65" s="135"/>
      <c r="N65" s="3"/>
      <c r="O65" s="101"/>
      <c r="P65" s="3"/>
    </row>
    <row r="66" spans="1:16">
      <c r="A66" s="15"/>
      <c r="B66" s="100"/>
      <c r="C66" s="426"/>
      <c r="D66" s="427"/>
      <c r="E66" s="428"/>
      <c r="F66" s="171">
        <v>1045</v>
      </c>
      <c r="G66" s="43" t="str">
        <f>IF(COUNTIF(I51:I53,"&lt;&gt; ")+COUNTIF(I55:I61,"&lt;&gt; ")+COUNTIF(I63:I64,"&lt;&gt; ")=0,G51+G53+SUM(G55:G58)+MAX((G59-G60),0)+G61+G63+G64,"")</f>
        <v/>
      </c>
      <c r="H66" s="23" t="s">
        <v>55</v>
      </c>
      <c r="I66" s="3"/>
      <c r="J66" s="3"/>
      <c r="K66" s="3"/>
      <c r="L66" s="3"/>
      <c r="M66" s="3"/>
      <c r="N66" s="3"/>
      <c r="O66" s="96"/>
      <c r="P66" s="3"/>
    </row>
    <row r="67" spans="1:16" ht="19.5">
      <c r="A67" s="15"/>
      <c r="B67" s="103"/>
      <c r="C67" s="18"/>
      <c r="D67" s="18"/>
      <c r="E67" s="10"/>
      <c r="F67" s="29"/>
      <c r="G67" s="11"/>
      <c r="H67" s="23"/>
      <c r="I67" s="11"/>
      <c r="J67" s="3"/>
      <c r="K67" s="2"/>
      <c r="L67" s="11"/>
      <c r="M67" s="3"/>
      <c r="N67" s="11"/>
      <c r="O67" s="96"/>
      <c r="P67" s="3"/>
    </row>
    <row r="68" spans="1:16">
      <c r="A68" s="15"/>
      <c r="B68" s="95"/>
      <c r="C68" s="49" t="s">
        <v>365</v>
      </c>
      <c r="D68" s="50"/>
      <c r="E68" s="51"/>
      <c r="F68" s="67" t="s">
        <v>206</v>
      </c>
      <c r="G68" s="410" t="str">
        <f>G$22</f>
        <v>Amount</v>
      </c>
      <c r="H68" s="23"/>
      <c r="I68" s="28" t="str">
        <f>I$22</f>
        <v>Checks</v>
      </c>
      <c r="J68" s="3"/>
      <c r="K68" s="28" t="str">
        <f>K$22</f>
        <v>Remarks</v>
      </c>
      <c r="L68" s="28" t="str">
        <f>L$22</f>
        <v>Comments</v>
      </c>
      <c r="M68" s="3"/>
      <c r="N68" s="28" t="str">
        <f>N$22</f>
        <v>Supervisor Comments</v>
      </c>
      <c r="O68" s="96"/>
      <c r="P68" s="3"/>
    </row>
    <row r="69" spans="1:16" ht="15.75">
      <c r="A69" s="26"/>
      <c r="B69" s="102"/>
      <c r="C69" s="52" t="s">
        <v>39</v>
      </c>
      <c r="D69" s="53"/>
      <c r="E69" s="54"/>
      <c r="F69" s="171">
        <v>1046</v>
      </c>
      <c r="G69" s="38"/>
      <c r="H69" s="23" t="s">
        <v>78</v>
      </c>
      <c r="I69" s="45" t="str">
        <f>IF(ISTEXT(G69),"No text please",IF(G69&lt;0,"No negatives please",IF(ISBLANK(G69),"Please enter a value",IF(AND(G69=0,ISERROR(FIND("zero",K69))),"Please confirm zero",IF(AND(G69&lt;&gt;0,K69="Confirmed zero"),"Value not zero"," ")))))</f>
        <v>Please enter a value</v>
      </c>
      <c r="J69" s="135"/>
      <c r="K69" s="31"/>
      <c r="L69" s="209"/>
      <c r="M69" s="135"/>
      <c r="N69" s="211"/>
      <c r="O69" s="101"/>
      <c r="P69" s="3"/>
    </row>
    <row r="70" spans="1:16" ht="15.75">
      <c r="A70" s="26"/>
      <c r="B70" s="102"/>
      <c r="C70" s="52" t="s">
        <v>40</v>
      </c>
      <c r="D70" s="53"/>
      <c r="E70" s="54"/>
      <c r="F70" s="171">
        <v>1047</v>
      </c>
      <c r="G70" s="38"/>
      <c r="H70" s="23" t="s">
        <v>79</v>
      </c>
      <c r="I70" s="45" t="str">
        <f>IF(ISTEXT(G70),"No text please",IF(G70&lt;0,"No negatives please",IF(ISBLANK(G70),"Please enter a value",IF(AND(G70=0,ISERROR(FIND("zero",K70))),"Please confirm zero",IF(AND(G70&lt;&gt;0,K70="Confirmed zero"),"Value not zero"," ")))))</f>
        <v>Please enter a value</v>
      </c>
      <c r="J70" s="135"/>
      <c r="K70" s="31"/>
      <c r="L70" s="209"/>
      <c r="M70" s="135"/>
      <c r="N70" s="211"/>
      <c r="O70" s="101"/>
      <c r="P70" s="3"/>
    </row>
    <row r="71" spans="1:16" ht="15.75">
      <c r="A71" s="26"/>
      <c r="B71" s="102"/>
      <c r="C71" s="52" t="s">
        <v>413</v>
      </c>
      <c r="D71" s="53"/>
      <c r="E71" s="54"/>
      <c r="F71" s="171">
        <v>1048</v>
      </c>
      <c r="G71" s="38"/>
      <c r="H71" s="23" t="s">
        <v>80</v>
      </c>
      <c r="I71" s="45" t="str">
        <f>IF(ISTEXT(G71),"No text please",IF(G71&lt;0,"No negatives please",IF(ISBLANK(G71),"Please enter a value",IF(AND(G71=0,ISERROR(FIND("zero",K71))),"Please confirm zero",IF(AND(G71&lt;&gt;0,K71="Confirmed zero"),"Value not zero"," ")))))</f>
        <v>Please enter a value</v>
      </c>
      <c r="J71" s="135"/>
      <c r="K71" s="31"/>
      <c r="L71" s="209"/>
      <c r="M71" s="135"/>
      <c r="N71" s="211"/>
      <c r="O71" s="101"/>
      <c r="P71" s="3"/>
    </row>
    <row r="72" spans="1:16" ht="15.75">
      <c r="A72" s="26"/>
      <c r="B72" s="102"/>
      <c r="C72" s="52" t="s">
        <v>418</v>
      </c>
      <c r="D72" s="53"/>
      <c r="E72" s="54"/>
      <c r="F72" s="171">
        <v>1049</v>
      </c>
      <c r="G72" s="38"/>
      <c r="H72" s="23" t="s">
        <v>81</v>
      </c>
      <c r="I72" s="45" t="str">
        <f>IF(ISTEXT(G72),"No text please",IF(G72&lt;0,"No negatives please",IF(ISBLANK(G72),"Please enter a value",IF(AND(G72=0,ISERROR(FIND("zero",K72))),"Please confirm zero",IF(AND(G72&lt;&gt;0,K72="Confirmed zero"),"Value not zero"," ")))))</f>
        <v>Please enter a value</v>
      </c>
      <c r="J72" s="135"/>
      <c r="K72" s="31"/>
      <c r="L72" s="209"/>
      <c r="M72" s="135"/>
      <c r="N72" s="211"/>
      <c r="O72" s="101"/>
      <c r="P72" s="3"/>
    </row>
    <row r="73" spans="1:16" ht="15.75">
      <c r="A73" s="26"/>
      <c r="B73" s="102"/>
      <c r="C73" s="52" t="s">
        <v>414</v>
      </c>
      <c r="D73" s="53"/>
      <c r="E73" s="54"/>
      <c r="F73" s="33"/>
      <c r="G73" s="32"/>
      <c r="H73" s="23"/>
      <c r="I73" s="32"/>
      <c r="J73" s="3"/>
      <c r="K73" s="32"/>
      <c r="L73" s="32"/>
      <c r="M73" s="26"/>
      <c r="N73" s="32"/>
      <c r="O73" s="96"/>
      <c r="P73" s="3"/>
    </row>
    <row r="74" spans="1:16" ht="15.75">
      <c r="A74" s="26"/>
      <c r="B74" s="102"/>
      <c r="C74" s="172" t="s">
        <v>249</v>
      </c>
      <c r="D74" s="56"/>
      <c r="E74" s="54"/>
      <c r="F74" s="171">
        <v>1050</v>
      </c>
      <c r="G74" s="38"/>
      <c r="H74" s="23" t="s">
        <v>82</v>
      </c>
      <c r="I74" s="45" t="str">
        <f>IF(ISTEXT(G74),"No text please",IF(G74&lt;0,"No negatives please",IF(ISBLANK(G74),"Please enter a value",IF(AND(G74=0,ISERROR(FIND("zero",K74))),"Please confirm zero",IF(AND(G74&lt;&gt;0,K74="Confirmed zero"),"Value not zero"," ")))))</f>
        <v>Please enter a value</v>
      </c>
      <c r="J74" s="135"/>
      <c r="K74" s="31"/>
      <c r="L74" s="209"/>
      <c r="M74" s="135"/>
      <c r="N74" s="211"/>
      <c r="O74" s="101"/>
      <c r="P74" s="3"/>
    </row>
    <row r="75" spans="1:16" ht="15.75">
      <c r="A75" s="26"/>
      <c r="B75" s="102"/>
      <c r="C75" s="172" t="s">
        <v>38</v>
      </c>
      <c r="D75" s="56"/>
      <c r="E75" s="54"/>
      <c r="F75" s="171">
        <v>1051</v>
      </c>
      <c r="G75" s="38"/>
      <c r="H75" s="23" t="s">
        <v>83</v>
      </c>
      <c r="I75" s="45" t="str">
        <f>IF(ISTEXT(G75),"No text please",IF(G75&lt;0,"No negatives please",IF(ISBLANK(G75),"Please enter a value",IF(AND(G75=0,ISERROR(FIND("zero",K75))),"Please confirm zero",IF(AND(G75&lt;&gt;0,K75="Confirmed zero"),"Value not zero"," ")))))</f>
        <v>Please enter a value</v>
      </c>
      <c r="J75" s="135"/>
      <c r="K75" s="31"/>
      <c r="L75" s="209"/>
      <c r="M75" s="135"/>
      <c r="N75" s="211"/>
      <c r="O75" s="101"/>
      <c r="P75" s="3"/>
    </row>
    <row r="76" spans="1:16" ht="15.75">
      <c r="A76" s="26"/>
      <c r="B76" s="102"/>
      <c r="C76" s="408" t="s">
        <v>615</v>
      </c>
      <c r="D76" s="409"/>
      <c r="E76" s="66"/>
      <c r="F76" s="171">
        <v>1052</v>
      </c>
      <c r="G76" s="43" t="str">
        <f>IF(COUNTIF(I69:I72,"&lt;&gt; ")+COUNTIF(I74:I75,"&lt;&gt; ")=0,SUM(G69:G71)+G72+G74+G75,"")</f>
        <v/>
      </c>
      <c r="H76" s="23" t="s">
        <v>255</v>
      </c>
      <c r="I76" s="3"/>
      <c r="J76" s="135"/>
      <c r="K76" s="3"/>
      <c r="L76" s="3"/>
      <c r="M76" s="135"/>
      <c r="N76" s="3"/>
      <c r="O76" s="96"/>
      <c r="P76" s="3"/>
    </row>
    <row r="77" spans="1:16" ht="19.5">
      <c r="A77" s="26"/>
      <c r="B77" s="103"/>
      <c r="C77" s="19"/>
      <c r="D77" s="19"/>
      <c r="E77" s="20"/>
      <c r="F77" s="30"/>
      <c r="G77" s="13"/>
      <c r="H77" s="17"/>
      <c r="I77" s="14"/>
      <c r="J77" s="135"/>
      <c r="K77" s="2"/>
      <c r="L77" s="5"/>
      <c r="M77" s="135"/>
      <c r="N77" s="5"/>
      <c r="O77" s="101"/>
      <c r="P77" s="3"/>
    </row>
    <row r="78" spans="1:16">
      <c r="A78" s="15"/>
      <c r="B78" s="95"/>
      <c r="C78" s="49" t="s">
        <v>366</v>
      </c>
      <c r="D78" s="50"/>
      <c r="E78" s="51"/>
      <c r="F78" s="48" t="s">
        <v>206</v>
      </c>
      <c r="G78" s="410" t="str">
        <f>G$22</f>
        <v>Amount</v>
      </c>
      <c r="H78" s="23"/>
      <c r="I78" s="28" t="str">
        <f>I$22</f>
        <v>Checks</v>
      </c>
      <c r="J78" s="3"/>
      <c r="K78" s="28" t="str">
        <f>K$22</f>
        <v>Remarks</v>
      </c>
      <c r="L78" s="28" t="str">
        <f>L$22</f>
        <v>Comments</v>
      </c>
      <c r="M78" s="3"/>
      <c r="N78" s="28" t="str">
        <f>N$22</f>
        <v>Supervisor Comments</v>
      </c>
      <c r="O78" s="96"/>
      <c r="P78" s="3"/>
    </row>
    <row r="79" spans="1:16" ht="15.75">
      <c r="A79" s="26"/>
      <c r="B79" s="102"/>
      <c r="C79" s="52" t="s">
        <v>49</v>
      </c>
      <c r="D79" s="53"/>
      <c r="E79" s="54"/>
      <c r="F79" s="171">
        <v>1053</v>
      </c>
      <c r="G79" s="38"/>
      <c r="H79" s="23" t="s">
        <v>84</v>
      </c>
      <c r="I79" s="45" t="str">
        <f>IF(ISTEXT(G79),"No text please",IF(G79&lt;0,"No negatives please",IF(ISBLANK(G79),"Please enter a value",IF(AND(G79=0,ISERROR(FIND("zero",K79))),"Please confirm zero",IF(AND(G79&lt;&gt;0,K79="Confirmed zero"),"Value not zero"," ")))))</f>
        <v>Please enter a value</v>
      </c>
      <c r="J79" s="135"/>
      <c r="K79" s="31"/>
      <c r="L79" s="209"/>
      <c r="M79" s="135"/>
      <c r="N79" s="211"/>
      <c r="O79" s="101"/>
      <c r="P79" s="3"/>
    </row>
    <row r="80" spans="1:16" ht="15.75">
      <c r="A80" s="26"/>
      <c r="B80" s="102"/>
      <c r="C80" s="52" t="s">
        <v>50</v>
      </c>
      <c r="D80" s="53"/>
      <c r="E80" s="54"/>
      <c r="F80" s="171">
        <v>1054</v>
      </c>
      <c r="G80" s="38"/>
      <c r="H80" s="23" t="s">
        <v>85</v>
      </c>
      <c r="I80" s="45" t="str">
        <f>IF(ISTEXT(G80),"No text please",IF(G80&lt;0,"No negatives please",IF(ISBLANK(G80),"Please enter a value",IF(AND(G80=0,ISERROR(FIND("zero",K80))),"Please confirm zero",IF(AND(G80&lt;&gt;0,K80="Confirmed zero"),"Value not zero"," ")))))</f>
        <v>Please enter a value</v>
      </c>
      <c r="J80" s="135"/>
      <c r="K80" s="31"/>
      <c r="L80" s="209"/>
      <c r="M80" s="135"/>
      <c r="N80" s="211"/>
      <c r="O80" s="101"/>
      <c r="P80" s="3"/>
    </row>
    <row r="81" spans="1:16" ht="15.75">
      <c r="A81" s="26"/>
      <c r="B81" s="102"/>
      <c r="C81" s="52" t="s">
        <v>51</v>
      </c>
      <c r="D81" s="53"/>
      <c r="E81" s="54"/>
      <c r="F81" s="171">
        <v>1055</v>
      </c>
      <c r="G81" s="38"/>
      <c r="H81" s="23" t="s">
        <v>86</v>
      </c>
      <c r="I81" s="45" t="str">
        <f>IF(ISTEXT(G81),"No text please",IF(G81&lt;0,"No negatives please",IF(ISBLANK(G81),"Please enter a value",IF(AND(G81=0,ISERROR(FIND("zero",K81))),"Please confirm zero",IF(AND(G81&lt;&gt;0,K81="Confirmed zero"),"Value not zero"," ")))))</f>
        <v>Please enter a value</v>
      </c>
      <c r="J81" s="135"/>
      <c r="K81" s="31"/>
      <c r="L81" s="209"/>
      <c r="M81" s="135"/>
      <c r="N81" s="211"/>
      <c r="O81" s="101"/>
      <c r="P81" s="3"/>
    </row>
    <row r="82" spans="1:16" ht="15.75">
      <c r="A82" s="26"/>
      <c r="B82" s="102"/>
      <c r="C82" s="52" t="s">
        <v>52</v>
      </c>
      <c r="D82" s="53"/>
      <c r="E82" s="54"/>
      <c r="F82" s="171">
        <v>1056</v>
      </c>
      <c r="G82" s="38"/>
      <c r="H82" s="23" t="s">
        <v>87</v>
      </c>
      <c r="I82" s="45" t="str">
        <f>IF(ISTEXT(G82),"No text please",IF(G82&lt;0,"No negatives please",IF(ISBLANK(G82),"Please enter a value",IF(AND(G82=0,ISERROR(FIND("zero",K82))),"Please confirm zero",IF(AND(G82&lt;&gt;0,K82="Confirmed zero"),"Value not zero"," ")))))</f>
        <v>Please enter a value</v>
      </c>
      <c r="J82" s="135"/>
      <c r="K82" s="31"/>
      <c r="L82" s="209"/>
      <c r="M82" s="135"/>
      <c r="N82" s="211"/>
      <c r="O82" s="101"/>
      <c r="P82" s="3"/>
    </row>
    <row r="83" spans="1:16" ht="15.75">
      <c r="A83" s="26"/>
      <c r="B83" s="102"/>
      <c r="C83" s="52" t="s">
        <v>53</v>
      </c>
      <c r="D83" s="53"/>
      <c r="E83" s="54"/>
      <c r="F83" s="171">
        <v>1057</v>
      </c>
      <c r="G83" s="38"/>
      <c r="H83" s="23" t="s">
        <v>88</v>
      </c>
      <c r="I83" s="45" t="str">
        <f>IF(ISTEXT(G83),"No text please",IF(G83&lt;0,"No negatives please",IF(ISBLANK(G83),"Please enter a value",IF(AND(G83=0,ISERROR(FIND("zero",K83))),"Please confirm zero",IF(AND(G83&lt;&gt;0,K83="Confirmed zero"),"Value not zero",IF($G$83&lt;$G$164,"&lt; 15.d"," "))))))</f>
        <v>Please enter a value</v>
      </c>
      <c r="J83" s="135"/>
      <c r="K83" s="31"/>
      <c r="L83" s="209"/>
      <c r="M83" s="135"/>
      <c r="N83" s="211"/>
      <c r="O83" s="101"/>
      <c r="P83" s="3"/>
    </row>
    <row r="84" spans="1:16" ht="15.75">
      <c r="A84" s="26"/>
      <c r="B84" s="102"/>
      <c r="C84" s="52" t="s">
        <v>54</v>
      </c>
      <c r="D84" s="53"/>
      <c r="E84" s="54"/>
      <c r="F84" s="171">
        <v>1058</v>
      </c>
      <c r="G84" s="38"/>
      <c r="H84" s="23" t="s">
        <v>89</v>
      </c>
      <c r="I84" s="45" t="str">
        <f>IF(ISTEXT(G84),"No text please",IF(G84&lt;0,"No negatives please",IF(ISBLANK(G84),"Please enter a value",IF(AND(G84=0,ISERROR(FIND("zero",K84))),"Please confirm zero",IF(AND(G84&lt;&gt;0,K84="Confirmed zero"),"Value not zero"," ")))))</f>
        <v>Please enter a value</v>
      </c>
      <c r="J84" s="135"/>
      <c r="K84" s="31"/>
      <c r="L84" s="209"/>
      <c r="M84" s="135"/>
      <c r="N84" s="211"/>
      <c r="O84" s="101"/>
      <c r="P84" s="3"/>
    </row>
    <row r="85" spans="1:16" ht="15.75">
      <c r="A85" s="26"/>
      <c r="B85" s="102"/>
      <c r="C85" s="52" t="s">
        <v>171</v>
      </c>
      <c r="D85" s="53"/>
      <c r="E85" s="54"/>
      <c r="F85" s="171">
        <v>1059</v>
      </c>
      <c r="G85" s="38"/>
      <c r="H85" s="23" t="s">
        <v>90</v>
      </c>
      <c r="I85" s="45" t="str">
        <f>IF(ISTEXT(G85),"No text please",IF(G85&lt;0,"No negatives please",IF(ISBLANK(G85),"Please enter a value",IF(AND(G85=0,ISERROR(FIND("zero",K85))),"Please confirm zero",IF(AND(G85&lt;&gt;0,K85="Confirmed zero"),"Value not zero"," ")))))</f>
        <v>Please enter a value</v>
      </c>
      <c r="J85" s="135"/>
      <c r="K85" s="31"/>
      <c r="L85" s="209"/>
      <c r="M85" s="135"/>
      <c r="N85" s="211"/>
      <c r="O85" s="101"/>
      <c r="P85" s="3"/>
    </row>
    <row r="86" spans="1:16" ht="15.75">
      <c r="A86" s="15"/>
      <c r="B86" s="102"/>
      <c r="C86" s="408" t="s">
        <v>616</v>
      </c>
      <c r="D86" s="409"/>
      <c r="E86" s="66"/>
      <c r="F86" s="171">
        <v>1060</v>
      </c>
      <c r="G86" s="43" t="str">
        <f>IF(COUNTIF(I79:I85,"&lt;&gt; ")=0,SUM(G79:G85),"")</f>
        <v/>
      </c>
      <c r="H86" s="23" t="s">
        <v>257</v>
      </c>
      <c r="I86" s="3"/>
      <c r="J86" s="3"/>
      <c r="K86" s="3"/>
      <c r="L86" s="3"/>
      <c r="M86" s="3"/>
      <c r="N86" s="3"/>
      <c r="O86" s="96"/>
      <c r="P86" s="3"/>
    </row>
    <row r="87" spans="1:16">
      <c r="A87" s="15"/>
      <c r="B87" s="140"/>
      <c r="C87" s="141"/>
      <c r="D87" s="141"/>
      <c r="E87" s="132"/>
      <c r="F87" s="142"/>
      <c r="G87" s="132"/>
      <c r="H87" s="143"/>
      <c r="I87" s="132"/>
      <c r="J87" s="132"/>
      <c r="K87" s="132"/>
      <c r="L87" s="132"/>
      <c r="M87" s="132"/>
      <c r="N87" s="132"/>
      <c r="O87" s="144"/>
      <c r="P87" s="3"/>
    </row>
    <row r="88" spans="1:16" ht="15.75">
      <c r="A88" s="15"/>
      <c r="B88" s="59" t="s">
        <v>107</v>
      </c>
      <c r="C88" s="60"/>
      <c r="D88" s="60"/>
      <c r="E88" s="60"/>
      <c r="F88" s="60"/>
      <c r="G88" s="60"/>
      <c r="H88" s="92"/>
      <c r="I88" s="60"/>
      <c r="J88" s="60"/>
      <c r="K88" s="60"/>
      <c r="L88" s="60"/>
      <c r="M88" s="60"/>
      <c r="N88" s="60"/>
      <c r="O88" s="61"/>
      <c r="P88" s="3"/>
    </row>
    <row r="89" spans="1:16" ht="19.5">
      <c r="A89" s="15"/>
      <c r="B89" s="156"/>
      <c r="C89" s="157"/>
      <c r="D89" s="157"/>
      <c r="E89" s="158"/>
      <c r="F89" s="159"/>
      <c r="G89" s="160"/>
      <c r="H89" s="161"/>
      <c r="I89" s="160"/>
      <c r="J89" s="147"/>
      <c r="K89" s="162"/>
      <c r="L89" s="160"/>
      <c r="M89" s="147"/>
      <c r="N89" s="160"/>
      <c r="O89" s="150"/>
      <c r="P89" s="3"/>
    </row>
    <row r="90" spans="1:16" ht="19.5" customHeight="1">
      <c r="A90" s="15"/>
      <c r="B90" s="103"/>
      <c r="C90" s="417" t="s">
        <v>367</v>
      </c>
      <c r="D90" s="415" t="s">
        <v>191</v>
      </c>
      <c r="E90" s="415" t="s">
        <v>514</v>
      </c>
      <c r="F90" s="410"/>
      <c r="G90" s="416" t="str">
        <f>G$22</f>
        <v>Amount</v>
      </c>
      <c r="H90" s="17"/>
      <c r="I90" s="11"/>
      <c r="J90" s="3"/>
      <c r="K90" s="2"/>
      <c r="L90" s="11"/>
      <c r="M90" s="3"/>
      <c r="N90" s="11"/>
      <c r="O90" s="96"/>
      <c r="P90" s="3"/>
    </row>
    <row r="91" spans="1:16">
      <c r="A91" s="15"/>
      <c r="B91" s="97"/>
      <c r="C91" s="418"/>
      <c r="D91" s="415"/>
      <c r="E91" s="415"/>
      <c r="F91" s="48" t="s">
        <v>206</v>
      </c>
      <c r="G91" s="416"/>
      <c r="H91" s="23"/>
      <c r="I91" s="28" t="str">
        <f>I$22</f>
        <v>Checks</v>
      </c>
      <c r="J91" s="3"/>
      <c r="K91" s="28" t="str">
        <f>K$22</f>
        <v>Remarks</v>
      </c>
      <c r="L91" s="28" t="str">
        <f>L$22</f>
        <v>Comments</v>
      </c>
      <c r="M91" s="3"/>
      <c r="N91" s="28" t="str">
        <f>N$22</f>
        <v>Supervisor Comments</v>
      </c>
      <c r="O91" s="96"/>
      <c r="P91" s="3"/>
    </row>
    <row r="92" spans="1:16">
      <c r="A92" s="15"/>
      <c r="B92" s="97"/>
      <c r="C92" s="52" t="s">
        <v>178</v>
      </c>
      <c r="D92" s="177" t="s">
        <v>6</v>
      </c>
      <c r="E92" s="79"/>
      <c r="F92" s="171">
        <v>1061</v>
      </c>
      <c r="G92" s="80" t="str">
        <f t="shared" ref="G92:G103" si="0">IF(AND(ISNUMBER(E92),VLOOKUP(D92,$D$229:$I$243,COLUMNS($D$229:$I$243),FALSE)=" "),E92*VLOOKUP(D92,$D$229:$E$243,2,FALSE)," ")</f>
        <v xml:space="preserve"> </v>
      </c>
      <c r="H92" s="23" t="s">
        <v>108</v>
      </c>
      <c r="I92" s="45" t="str">
        <f t="shared" ref="I92:I103" si="1">IF(ISTEXT(E92),"No text please",IF(E92&lt;0,"No negatives please",IF(ISBLANK(E92),"Please enter a value",IF(AND(E92=0,ISERROR(FIND("zero",K92))),"Please confirm zero",IF(AND(E92&lt;&gt;0,K92="Confirmed zero"),"Value not zero",IF(VLOOKUP(D92,$D$229:$I$243,COLUMNS($D$229:$I$243),FALSE)&lt;&gt;" ","See item "&amp;VLOOKUP(D92,$D$229:$I$243,COLUMNS($D$229:$I$243)-1,FALSE)," "))))))</f>
        <v>Please enter a value</v>
      </c>
      <c r="J92" s="3"/>
      <c r="K92" s="31"/>
      <c r="L92" s="209"/>
      <c r="M92" s="3"/>
      <c r="N92" s="211"/>
      <c r="O92" s="96"/>
      <c r="P92" s="3"/>
    </row>
    <row r="93" spans="1:16">
      <c r="A93" s="15"/>
      <c r="B93" s="97"/>
      <c r="C93" s="52" t="s">
        <v>179</v>
      </c>
      <c r="D93" s="177" t="s">
        <v>10</v>
      </c>
      <c r="E93" s="81"/>
      <c r="F93" s="171">
        <v>1062</v>
      </c>
      <c r="G93" s="80" t="str">
        <f t="shared" si="0"/>
        <v xml:space="preserve"> </v>
      </c>
      <c r="H93" s="23" t="s">
        <v>109</v>
      </c>
      <c r="I93" s="45" t="str">
        <f t="shared" si="1"/>
        <v>Please enter a value</v>
      </c>
      <c r="J93" s="3"/>
      <c r="K93" s="31"/>
      <c r="L93" s="209"/>
      <c r="M93" s="3"/>
      <c r="N93" s="211"/>
      <c r="O93" s="96"/>
      <c r="P93" s="3"/>
    </row>
    <row r="94" spans="1:16">
      <c r="A94" s="15"/>
      <c r="B94" s="97"/>
      <c r="C94" s="52" t="s">
        <v>180</v>
      </c>
      <c r="D94" s="177" t="s">
        <v>7</v>
      </c>
      <c r="E94" s="82"/>
      <c r="F94" s="171">
        <v>1063</v>
      </c>
      <c r="G94" s="80" t="str">
        <f t="shared" si="0"/>
        <v xml:space="preserve"> </v>
      </c>
      <c r="H94" s="23" t="s">
        <v>110</v>
      </c>
      <c r="I94" s="45" t="str">
        <f t="shared" si="1"/>
        <v>Please enter a value</v>
      </c>
      <c r="J94" s="3"/>
      <c r="K94" s="31"/>
      <c r="L94" s="209"/>
      <c r="M94" s="3"/>
      <c r="N94" s="211"/>
      <c r="O94" s="96"/>
      <c r="P94" s="3"/>
    </row>
    <row r="95" spans="1:16">
      <c r="A95" s="15"/>
      <c r="B95" s="97"/>
      <c r="C95" s="52" t="s">
        <v>181</v>
      </c>
      <c r="D95" s="177" t="s">
        <v>8</v>
      </c>
      <c r="E95" s="83"/>
      <c r="F95" s="171">
        <v>1064</v>
      </c>
      <c r="G95" s="80" t="str">
        <f t="shared" si="0"/>
        <v xml:space="preserve"> </v>
      </c>
      <c r="H95" s="23" t="s">
        <v>111</v>
      </c>
      <c r="I95" s="45" t="str">
        <f t="shared" si="1"/>
        <v>Please enter a value</v>
      </c>
      <c r="J95" s="3"/>
      <c r="K95" s="31"/>
      <c r="L95" s="209"/>
      <c r="M95" s="3"/>
      <c r="N95" s="211"/>
      <c r="O95" s="96"/>
      <c r="P95" s="3"/>
    </row>
    <row r="96" spans="1:16">
      <c r="A96" s="15"/>
      <c r="B96" s="97"/>
      <c r="C96" s="52" t="s">
        <v>182</v>
      </c>
      <c r="D96" s="177" t="s">
        <v>4</v>
      </c>
      <c r="E96" s="84"/>
      <c r="F96" s="171">
        <v>1065</v>
      </c>
      <c r="G96" s="80" t="str">
        <f t="shared" si="0"/>
        <v xml:space="preserve"> </v>
      </c>
      <c r="H96" s="23" t="s">
        <v>112</v>
      </c>
      <c r="I96" s="45" t="str">
        <f t="shared" si="1"/>
        <v>Please enter a value</v>
      </c>
      <c r="J96" s="3"/>
      <c r="K96" s="31"/>
      <c r="L96" s="209"/>
      <c r="M96" s="3"/>
      <c r="N96" s="211"/>
      <c r="O96" s="96"/>
      <c r="P96" s="3"/>
    </row>
    <row r="97" spans="1:16">
      <c r="A97" s="15"/>
      <c r="B97" s="97"/>
      <c r="C97" s="52" t="s">
        <v>183</v>
      </c>
      <c r="D97" s="177" t="s">
        <v>1</v>
      </c>
      <c r="E97" s="85"/>
      <c r="F97" s="171">
        <v>1066</v>
      </c>
      <c r="G97" s="80" t="str">
        <f t="shared" si="0"/>
        <v xml:space="preserve"> </v>
      </c>
      <c r="H97" s="23" t="s">
        <v>113</v>
      </c>
      <c r="I97" s="45" t="str">
        <f t="shared" si="1"/>
        <v>Please enter a value</v>
      </c>
      <c r="J97" s="3"/>
      <c r="K97" s="31"/>
      <c r="L97" s="209"/>
      <c r="M97" s="3"/>
      <c r="N97" s="211"/>
      <c r="O97" s="96"/>
      <c r="P97" s="3"/>
    </row>
    <row r="98" spans="1:16">
      <c r="A98" s="15"/>
      <c r="B98" s="97"/>
      <c r="C98" s="52" t="s">
        <v>184</v>
      </c>
      <c r="D98" s="177" t="s">
        <v>2</v>
      </c>
      <c r="E98" s="86"/>
      <c r="F98" s="171">
        <v>1067</v>
      </c>
      <c r="G98" s="80" t="str">
        <f t="shared" si="0"/>
        <v xml:space="preserve"> </v>
      </c>
      <c r="H98" s="23" t="s">
        <v>114</v>
      </c>
      <c r="I98" s="45" t="str">
        <f t="shared" si="1"/>
        <v>Please enter a value</v>
      </c>
      <c r="J98" s="3"/>
      <c r="K98" s="31"/>
      <c r="L98" s="209"/>
      <c r="M98" s="3"/>
      <c r="N98" s="211"/>
      <c r="O98" s="96"/>
      <c r="P98" s="3"/>
    </row>
    <row r="99" spans="1:16">
      <c r="A99" s="15"/>
      <c r="B99" s="97"/>
      <c r="C99" s="52" t="s">
        <v>185</v>
      </c>
      <c r="D99" s="177" t="s">
        <v>5</v>
      </c>
      <c r="E99" s="87"/>
      <c r="F99" s="171">
        <v>1068</v>
      </c>
      <c r="G99" s="80" t="str">
        <f t="shared" si="0"/>
        <v xml:space="preserve"> </v>
      </c>
      <c r="H99" s="23" t="s">
        <v>115</v>
      </c>
      <c r="I99" s="45" t="str">
        <f t="shared" si="1"/>
        <v>Please enter a value</v>
      </c>
      <c r="J99" s="3"/>
      <c r="K99" s="31"/>
      <c r="L99" s="209"/>
      <c r="M99" s="3"/>
      <c r="N99" s="211"/>
      <c r="O99" s="96"/>
      <c r="P99" s="3"/>
    </row>
    <row r="100" spans="1:16">
      <c r="A100" s="15"/>
      <c r="B100" s="97"/>
      <c r="C100" s="52" t="s">
        <v>186</v>
      </c>
      <c r="D100" s="177" t="s">
        <v>9</v>
      </c>
      <c r="E100" s="88"/>
      <c r="F100" s="171">
        <v>1069</v>
      </c>
      <c r="G100" s="80" t="str">
        <f t="shared" si="0"/>
        <v xml:space="preserve"> </v>
      </c>
      <c r="H100" s="23" t="s">
        <v>116</v>
      </c>
      <c r="I100" s="45" t="str">
        <f t="shared" si="1"/>
        <v>Please enter a value</v>
      </c>
      <c r="J100" s="3"/>
      <c r="K100" s="31"/>
      <c r="L100" s="209"/>
      <c r="M100" s="3"/>
      <c r="N100" s="211"/>
      <c r="O100" s="96"/>
      <c r="P100" s="3"/>
    </row>
    <row r="101" spans="1:16">
      <c r="A101" s="15"/>
      <c r="B101" s="97"/>
      <c r="C101" s="52" t="s">
        <v>187</v>
      </c>
      <c r="D101" s="177" t="s">
        <v>3</v>
      </c>
      <c r="E101" s="89"/>
      <c r="F101" s="171">
        <v>1070</v>
      </c>
      <c r="G101" s="80" t="str">
        <f t="shared" si="0"/>
        <v xml:space="preserve"> </v>
      </c>
      <c r="H101" s="23" t="s">
        <v>117</v>
      </c>
      <c r="I101" s="45" t="str">
        <f t="shared" si="1"/>
        <v>Please enter a value</v>
      </c>
      <c r="J101" s="3"/>
      <c r="K101" s="31"/>
      <c r="L101" s="209"/>
      <c r="M101" s="3"/>
      <c r="N101" s="211"/>
      <c r="O101" s="96"/>
      <c r="P101" s="3"/>
    </row>
    <row r="102" spans="1:16">
      <c r="A102" s="15"/>
      <c r="B102" s="97"/>
      <c r="C102" s="52" t="s">
        <v>188</v>
      </c>
      <c r="D102" s="177" t="s">
        <v>23</v>
      </c>
      <c r="E102" s="90"/>
      <c r="F102" s="171">
        <v>1071</v>
      </c>
      <c r="G102" s="80" t="str">
        <f t="shared" si="0"/>
        <v xml:space="preserve"> </v>
      </c>
      <c r="H102" s="23" t="s">
        <v>118</v>
      </c>
      <c r="I102" s="45" t="str">
        <f t="shared" si="1"/>
        <v>Please enter a value</v>
      </c>
      <c r="J102" s="3"/>
      <c r="K102" s="31"/>
      <c r="L102" s="209"/>
      <c r="M102" s="3"/>
      <c r="N102" s="211"/>
      <c r="O102" s="96"/>
      <c r="P102" s="3"/>
    </row>
    <row r="103" spans="1:16">
      <c r="A103" s="15"/>
      <c r="B103" s="97"/>
      <c r="C103" s="52" t="s">
        <v>189</v>
      </c>
      <c r="D103" s="177" t="s">
        <v>0</v>
      </c>
      <c r="E103" s="91"/>
      <c r="F103" s="171">
        <v>1072</v>
      </c>
      <c r="G103" s="80" t="str">
        <f t="shared" si="0"/>
        <v xml:space="preserve"> </v>
      </c>
      <c r="H103" s="23" t="s">
        <v>119</v>
      </c>
      <c r="I103" s="45" t="str">
        <f t="shared" si="1"/>
        <v>Please enter a value</v>
      </c>
      <c r="J103" s="3"/>
      <c r="K103" s="31"/>
      <c r="L103" s="209"/>
      <c r="M103" s="3"/>
      <c r="N103" s="211"/>
      <c r="O103" s="96"/>
      <c r="P103" s="3"/>
    </row>
    <row r="104" spans="1:16">
      <c r="A104" s="15"/>
      <c r="B104" s="97"/>
      <c r="C104" s="412" t="s">
        <v>617</v>
      </c>
      <c r="D104" s="413"/>
      <c r="E104" s="414"/>
      <c r="F104" s="171">
        <v>1073</v>
      </c>
      <c r="G104" s="174" t="str">
        <f>IF(COUNTIF(G92:G103,"= ")+COUNTIF(I92:I103,"&lt;&gt; ")=0,SUM(G92:G103)," ")</f>
        <v xml:space="preserve"> </v>
      </c>
      <c r="H104" s="23" t="s">
        <v>258</v>
      </c>
      <c r="I104" s="3"/>
      <c r="J104" s="3"/>
      <c r="K104" s="3"/>
      <c r="L104" s="3"/>
      <c r="M104" s="3"/>
      <c r="N104" s="3"/>
      <c r="O104" s="96"/>
      <c r="P104" s="3"/>
    </row>
    <row r="105" spans="1:16" ht="19.5">
      <c r="A105" s="15"/>
      <c r="B105" s="103"/>
      <c r="C105" s="18"/>
      <c r="D105" s="18"/>
      <c r="E105" s="10"/>
      <c r="F105" s="29"/>
      <c r="G105" s="11"/>
      <c r="H105" s="17"/>
      <c r="I105" s="11"/>
      <c r="J105" s="3"/>
      <c r="K105" s="2"/>
      <c r="L105" s="11"/>
      <c r="M105" s="3"/>
      <c r="N105" s="11"/>
      <c r="O105" s="96"/>
      <c r="P105" s="3"/>
    </row>
    <row r="106" spans="1:16" ht="19.5">
      <c r="A106" s="15"/>
      <c r="B106" s="103"/>
      <c r="C106" s="18"/>
      <c r="D106" s="18"/>
      <c r="E106" s="10"/>
      <c r="F106" s="29"/>
      <c r="G106" s="11"/>
      <c r="H106" s="17"/>
      <c r="I106" s="11"/>
      <c r="J106" s="3"/>
      <c r="K106" s="2"/>
      <c r="L106" s="11"/>
      <c r="M106" s="3"/>
      <c r="N106" s="11"/>
      <c r="O106" s="96"/>
      <c r="P106" s="3"/>
    </row>
    <row r="107" spans="1:16">
      <c r="A107" s="15"/>
      <c r="B107" s="95"/>
      <c r="C107" s="69" t="s">
        <v>368</v>
      </c>
      <c r="D107" s="77"/>
      <c r="E107" s="78"/>
      <c r="F107" s="67" t="s">
        <v>206</v>
      </c>
      <c r="G107" s="410" t="str">
        <f>G$22</f>
        <v>Amount</v>
      </c>
      <c r="H107" s="23"/>
      <c r="I107" s="28" t="str">
        <f>I$22</f>
        <v>Checks</v>
      </c>
      <c r="J107" s="3"/>
      <c r="K107" s="28" t="str">
        <f>K$22</f>
        <v>Remarks</v>
      </c>
      <c r="L107" s="28" t="str">
        <f>L$22</f>
        <v>Comments</v>
      </c>
      <c r="M107" s="3"/>
      <c r="N107" s="28" t="str">
        <f>N$22</f>
        <v>Supervisor Comments</v>
      </c>
      <c r="O107" s="96"/>
      <c r="P107" s="3"/>
    </row>
    <row r="108" spans="1:16">
      <c r="A108" s="15"/>
      <c r="B108" s="104"/>
      <c r="C108" s="408" t="s">
        <v>251</v>
      </c>
      <c r="D108" s="201"/>
      <c r="E108" s="66"/>
      <c r="F108" s="171">
        <v>1074</v>
      </c>
      <c r="G108" s="38"/>
      <c r="H108" s="23" t="s">
        <v>260</v>
      </c>
      <c r="I108" s="45" t="str">
        <f>IF(ISTEXT(G108),"No text please",IF(G108&lt;0,"No negatives please",IF(ISBLANK(G108),"Please enter a value",IF(AND(G108=0,ISERROR(FIND("zero",K108))),"Please confirm zero",IF(AND(G108&lt;&gt;0,K108="Confirmed zero"),"Value not zero"," ")))))</f>
        <v>Please enter a value</v>
      </c>
      <c r="J108" s="3"/>
      <c r="K108" s="31"/>
      <c r="L108" s="209"/>
      <c r="M108" s="3"/>
      <c r="N108" s="211"/>
      <c r="O108" s="96"/>
      <c r="P108" s="3"/>
    </row>
    <row r="109" spans="1:16" ht="19.5">
      <c r="A109" s="15"/>
      <c r="B109" s="103"/>
      <c r="C109" s="18"/>
      <c r="D109" s="18"/>
      <c r="E109" s="10"/>
      <c r="F109" s="29"/>
      <c r="G109" s="11"/>
      <c r="H109" s="17"/>
      <c r="I109" s="11"/>
      <c r="J109" s="3"/>
      <c r="K109" s="2"/>
      <c r="L109" s="11"/>
      <c r="M109" s="3"/>
      <c r="N109" s="11"/>
      <c r="O109" s="96"/>
      <c r="P109" s="3"/>
    </row>
    <row r="110" spans="1:16">
      <c r="A110" s="15"/>
      <c r="B110" s="95"/>
      <c r="C110" s="49" t="s">
        <v>369</v>
      </c>
      <c r="D110" s="50"/>
      <c r="E110" s="51"/>
      <c r="F110" s="67" t="s">
        <v>206</v>
      </c>
      <c r="G110" s="410" t="str">
        <f>G$22</f>
        <v>Amount</v>
      </c>
      <c r="H110" s="23"/>
      <c r="I110" s="28" t="str">
        <f>I$22</f>
        <v>Checks</v>
      </c>
      <c r="J110" s="3"/>
      <c r="K110" s="28" t="str">
        <f>K$22</f>
        <v>Remarks</v>
      </c>
      <c r="L110" s="28" t="str">
        <f>L$22</f>
        <v>Comments</v>
      </c>
      <c r="M110" s="3"/>
      <c r="N110" s="28" t="str">
        <f>N$22</f>
        <v>Supervisor Comments</v>
      </c>
      <c r="O110" s="96"/>
      <c r="P110" s="3"/>
    </row>
    <row r="111" spans="1:16">
      <c r="A111" s="15"/>
      <c r="B111" s="97"/>
      <c r="C111" s="52" t="s">
        <v>120</v>
      </c>
      <c r="D111" s="53"/>
      <c r="E111" s="54"/>
      <c r="F111" s="42">
        <v>1075</v>
      </c>
      <c r="G111" s="38"/>
      <c r="H111" s="23" t="s">
        <v>122</v>
      </c>
      <c r="I111" s="45" t="str">
        <f>IF(ISTEXT(G111),"No text please",IF(G111&lt;0,"No negatives please",IF(ISBLANK(G111),"Please enter a value",IF(AND(G111=0,ISERROR(FIND("zero",K111))),"Please confirm zero",IF(AND(G111&lt;&gt;0,K111="Confirmed zero"),"Value not zero"," ")))))</f>
        <v>Please enter a value</v>
      </c>
      <c r="J111" s="3"/>
      <c r="K111" s="31"/>
      <c r="L111" s="209"/>
      <c r="M111" s="3"/>
      <c r="N111" s="211"/>
      <c r="O111" s="96"/>
      <c r="P111" s="3"/>
    </row>
    <row r="112" spans="1:16">
      <c r="A112" s="15"/>
      <c r="B112" s="97"/>
      <c r="C112" s="125" t="s">
        <v>121</v>
      </c>
      <c r="D112" s="126"/>
      <c r="E112" s="54"/>
      <c r="F112" s="171">
        <v>1076</v>
      </c>
      <c r="G112" s="38"/>
      <c r="H112" s="23" t="s">
        <v>123</v>
      </c>
      <c r="I112" s="45" t="str">
        <f>IF(ISTEXT(G112),"No text please",IF(G112&lt;0,"No negatives please",IF(ISBLANK(G112),"Please enter a value",IF(AND(G112=0,ISERROR(FIND("zero",K112))),"Please confirm zero",IF(AND(G112&lt;&gt;0,K112="Confirmed zero"),"Value not zero"," ")))))</f>
        <v>Please enter a value</v>
      </c>
      <c r="J112" s="3"/>
      <c r="K112" s="31"/>
      <c r="L112" s="209"/>
      <c r="M112" s="3"/>
      <c r="N112" s="211"/>
      <c r="O112" s="96"/>
      <c r="P112" s="3"/>
    </row>
    <row r="113" spans="1:16">
      <c r="A113" s="15"/>
      <c r="B113" s="97"/>
      <c r="C113" s="408" t="s">
        <v>618</v>
      </c>
      <c r="D113" s="409"/>
      <c r="E113" s="66"/>
      <c r="F113" s="171">
        <v>1077</v>
      </c>
      <c r="G113" s="43" t="str">
        <f>IF(COUNTIF(I111:I112,"&lt;&gt; ")=0,SUM(G111:G112),"")</f>
        <v/>
      </c>
      <c r="H113" s="23" t="s">
        <v>619</v>
      </c>
      <c r="I113" s="3"/>
      <c r="J113" s="3"/>
      <c r="K113" s="3"/>
      <c r="L113" s="3"/>
      <c r="M113" s="3"/>
      <c r="N113" s="3"/>
      <c r="O113" s="96"/>
      <c r="P113" s="3"/>
    </row>
    <row r="114" spans="1:16">
      <c r="A114" s="15"/>
      <c r="B114" s="140"/>
      <c r="C114" s="141"/>
      <c r="D114" s="141"/>
      <c r="E114" s="132"/>
      <c r="F114" s="142"/>
      <c r="G114" s="132"/>
      <c r="H114" s="143"/>
      <c r="I114" s="132"/>
      <c r="J114" s="132"/>
      <c r="K114" s="132"/>
      <c r="L114" s="132"/>
      <c r="M114" s="132"/>
      <c r="N114" s="132"/>
      <c r="O114" s="144"/>
      <c r="P114" s="3"/>
    </row>
    <row r="115" spans="1:16" ht="15.75">
      <c r="A115" s="15"/>
      <c r="B115" s="59" t="s">
        <v>124</v>
      </c>
      <c r="C115" s="60"/>
      <c r="D115" s="60"/>
      <c r="E115" s="60"/>
      <c r="F115" s="60"/>
      <c r="G115" s="60"/>
      <c r="H115" s="92"/>
      <c r="I115" s="60"/>
      <c r="J115" s="60"/>
      <c r="K115" s="60"/>
      <c r="L115" s="60"/>
      <c r="M115" s="60"/>
      <c r="N115" s="60"/>
      <c r="O115" s="61"/>
      <c r="P115" s="3"/>
    </row>
    <row r="116" spans="1:16" ht="19.5">
      <c r="A116" s="15"/>
      <c r="B116" s="156"/>
      <c r="C116" s="157"/>
      <c r="D116" s="157"/>
      <c r="E116" s="158"/>
      <c r="F116" s="159"/>
      <c r="G116" s="160"/>
      <c r="H116" s="161"/>
      <c r="I116" s="160"/>
      <c r="J116" s="147"/>
      <c r="K116" s="162"/>
      <c r="L116" s="160"/>
      <c r="M116" s="147"/>
      <c r="N116" s="160"/>
      <c r="O116" s="150"/>
      <c r="P116" s="3"/>
    </row>
    <row r="117" spans="1:16">
      <c r="A117" s="15"/>
      <c r="B117" s="95"/>
      <c r="C117" s="49" t="s">
        <v>370</v>
      </c>
      <c r="D117" s="50"/>
      <c r="E117" s="62"/>
      <c r="F117" s="67" t="s">
        <v>206</v>
      </c>
      <c r="G117" s="410" t="str">
        <f>G$22</f>
        <v>Amount</v>
      </c>
      <c r="H117" s="23"/>
      <c r="I117" s="28" t="str">
        <f>I$22</f>
        <v>Checks</v>
      </c>
      <c r="J117" s="3"/>
      <c r="K117" s="28" t="str">
        <f>K$22</f>
        <v>Remarks</v>
      </c>
      <c r="L117" s="28" t="str">
        <f>L$22</f>
        <v>Comments</v>
      </c>
      <c r="M117" s="3"/>
      <c r="N117" s="28" t="str">
        <f>N$22</f>
        <v>Supervisor Comments</v>
      </c>
      <c r="O117" s="96"/>
      <c r="P117" s="3"/>
    </row>
    <row r="118" spans="1:16">
      <c r="A118" s="15"/>
      <c r="B118" s="105"/>
      <c r="C118" s="52" t="s">
        <v>125</v>
      </c>
      <c r="D118" s="53"/>
      <c r="E118" s="54"/>
      <c r="F118" s="171">
        <v>1078</v>
      </c>
      <c r="G118" s="38"/>
      <c r="H118" s="23" t="s">
        <v>127</v>
      </c>
      <c r="I118" s="45" t="str">
        <f>IF(ISTEXT(G118),"No text please",IF(G118&lt;0,"No negatives please",IF(ISBLANK(G118),"Please enter a value",IF(AND(G118=0,ISERROR(FIND("zero",K118))),"Please confirm zero",IF(AND(G118&lt;&gt;0,K118="Confirmed zero"),"Value not zero"," ")))))</f>
        <v>Please enter a value</v>
      </c>
      <c r="J118" s="3"/>
      <c r="K118" s="31"/>
      <c r="L118" s="209"/>
      <c r="M118" s="3"/>
      <c r="N118" s="211"/>
      <c r="O118" s="96"/>
      <c r="P118" s="3"/>
    </row>
    <row r="119" spans="1:16">
      <c r="A119" s="15"/>
      <c r="B119" s="105"/>
      <c r="C119" s="125" t="s">
        <v>126</v>
      </c>
      <c r="D119" s="126"/>
      <c r="E119" s="54"/>
      <c r="F119" s="171">
        <v>1079</v>
      </c>
      <c r="G119" s="38"/>
      <c r="H119" s="23" t="s">
        <v>128</v>
      </c>
      <c r="I119" s="45" t="str">
        <f>IF(ISTEXT(G119),"No text please",IF(G119&lt;0,"No negatives please",IF(ISBLANK(G119),"Please enter a value",IF(AND(G119=0,ISERROR(FIND("zero",K119))),"Please confirm zero",IF(AND(G119&lt;&gt;0,K119="Confirmed zero"),"Value not zero"," ")))))</f>
        <v>Please enter a value</v>
      </c>
      <c r="J119" s="3"/>
      <c r="K119" s="31"/>
      <c r="L119" s="209"/>
      <c r="M119" s="3"/>
      <c r="N119" s="211"/>
      <c r="O119" s="96"/>
      <c r="P119" s="3"/>
    </row>
    <row r="120" spans="1:16">
      <c r="A120" s="15"/>
      <c r="B120" s="105"/>
      <c r="C120" s="408" t="s">
        <v>166</v>
      </c>
      <c r="D120" s="409"/>
      <c r="E120" s="66"/>
      <c r="F120" s="171">
        <v>1080</v>
      </c>
      <c r="G120" s="43" t="str">
        <f>IF(COUNTIF(I118:I119,"&lt;&gt; ")=0,SUM(G118:G119),"")</f>
        <v/>
      </c>
      <c r="H120" s="23" t="s">
        <v>129</v>
      </c>
      <c r="I120" s="3"/>
      <c r="J120" s="3"/>
      <c r="K120" s="3"/>
      <c r="L120" s="3"/>
      <c r="M120" s="3"/>
      <c r="N120" s="3"/>
      <c r="O120" s="96"/>
      <c r="P120" s="3"/>
    </row>
    <row r="121" spans="1:16" ht="19.5">
      <c r="A121" s="15"/>
      <c r="B121" s="103"/>
      <c r="C121" s="18"/>
      <c r="D121" s="18"/>
      <c r="E121" s="10"/>
      <c r="F121" s="29"/>
      <c r="G121" s="11"/>
      <c r="H121" s="17"/>
      <c r="I121" s="11"/>
      <c r="J121" s="3"/>
      <c r="K121" s="2"/>
      <c r="L121" s="11"/>
      <c r="M121" s="3"/>
      <c r="N121" s="11"/>
      <c r="O121" s="96"/>
      <c r="P121" s="3"/>
    </row>
    <row r="122" spans="1:16">
      <c r="A122" s="15"/>
      <c r="B122" s="95"/>
      <c r="C122" s="49" t="s">
        <v>371</v>
      </c>
      <c r="D122" s="50"/>
      <c r="E122" s="62"/>
      <c r="F122" s="67" t="s">
        <v>206</v>
      </c>
      <c r="G122" s="410" t="str">
        <f>G$22</f>
        <v>Amount</v>
      </c>
      <c r="H122" s="23"/>
      <c r="I122" s="28" t="str">
        <f>I$22</f>
        <v>Checks</v>
      </c>
      <c r="J122" s="3"/>
      <c r="K122" s="28" t="str">
        <f>K$22</f>
        <v>Remarks</v>
      </c>
      <c r="L122" s="28" t="str">
        <f>L$22</f>
        <v>Comments</v>
      </c>
      <c r="M122" s="3"/>
      <c r="N122" s="28" t="str">
        <f>N$22</f>
        <v>Supervisor Comments</v>
      </c>
      <c r="O122" s="96"/>
      <c r="P122" s="3"/>
    </row>
    <row r="123" spans="1:16">
      <c r="A123" s="15"/>
      <c r="B123" s="97"/>
      <c r="C123" s="52" t="s">
        <v>130</v>
      </c>
      <c r="D123" s="53"/>
      <c r="E123" s="54"/>
      <c r="F123" s="171">
        <v>1081</v>
      </c>
      <c r="G123" s="208"/>
      <c r="H123" s="23" t="s">
        <v>134</v>
      </c>
      <c r="I123" s="45" t="str">
        <f>IF(ISTEXT(G123),"No text please",IF(G123&lt;0,"No negatives please",IF(ISBLANK(G123),"Please enter a value",IF(AND(G123=0,ISERROR(FIND("zero",K123))),"Please confirm zero",IF(AND(G123&lt;&gt;0,K123="Confirmed zero"),"Value not zero",IF(SUM($G$123:$G$124)&lt;SUM($G$125:$G$126),"10.a. + 10.b. &lt; 10.c. + 10.d.",IF(SUM($G$123:$G$124)&lt;$G$125+$G$126/0.85,"Value underreported?"," ")))))))</f>
        <v>Please enter a value</v>
      </c>
      <c r="J123" s="3"/>
      <c r="K123" s="31"/>
      <c r="L123" s="209"/>
      <c r="M123" s="3"/>
      <c r="N123" s="211"/>
      <c r="O123" s="96"/>
      <c r="P123" s="3"/>
    </row>
    <row r="124" spans="1:16">
      <c r="A124" s="15"/>
      <c r="B124" s="97"/>
      <c r="C124" s="52" t="s">
        <v>131</v>
      </c>
      <c r="D124" s="53"/>
      <c r="E124" s="54"/>
      <c r="F124" s="171">
        <v>1082</v>
      </c>
      <c r="G124" s="38"/>
      <c r="H124" s="23" t="s">
        <v>163</v>
      </c>
      <c r="I124" s="45" t="str">
        <f>IF(ISTEXT(G124),"No text please",IF(G124&lt;0,"No negatives please",IF(ISBLANK(G124),"Please enter a value",IF(AND(G124=0,ISERROR(FIND("zero",K124))),"Please confirm zero",IF(AND(G124&lt;&gt;0,K124="Confirmed zero"),"Value not zero",IF(SUM($G$123:$G$124)&lt;SUM($G$125:$G$126),"10.a. + 10.b. &lt; 10.c. + 10.d.",IF(SUM($G$123:$G$124)&lt;$G$125+$G$126/0.85,"Value underreported?"," ")))))))</f>
        <v>Please enter a value</v>
      </c>
      <c r="J124" s="3"/>
      <c r="K124" s="31"/>
      <c r="L124" s="209"/>
      <c r="M124" s="3"/>
      <c r="N124" s="211"/>
      <c r="O124" s="96"/>
      <c r="P124" s="3"/>
    </row>
    <row r="125" spans="1:16">
      <c r="A125" s="15"/>
      <c r="B125" s="97"/>
      <c r="C125" s="52" t="s">
        <v>132</v>
      </c>
      <c r="D125" s="53"/>
      <c r="E125" s="54"/>
      <c r="F125" s="171">
        <v>1083</v>
      </c>
      <c r="G125" s="38"/>
      <c r="H125" s="23" t="s">
        <v>135</v>
      </c>
      <c r="I125" s="45" t="str">
        <f>IF(ISTEXT(G125),"No text please",IF(G125&lt;0,"No negatives please",IF(ISBLANK(G125),"Please enter a value",IF(AND(G125=0,ISERROR(FIND("zero",K125))),"Please confirm zero",IF(AND(G125&lt;&gt;0,K125="Confirmed zero"),"Value not zero",IF(SUM($G$123:$G$124)&lt;SUM($G$125:$G$126),"10.a. + 10.b. &lt; 10.c. + 10.d."," "))))))</f>
        <v>Please enter a value</v>
      </c>
      <c r="J125" s="3"/>
      <c r="K125" s="31"/>
      <c r="L125" s="209"/>
      <c r="M125" s="3"/>
      <c r="N125" s="211"/>
      <c r="O125" s="96"/>
      <c r="P125" s="15"/>
    </row>
    <row r="126" spans="1:16">
      <c r="A126" s="15"/>
      <c r="B126" s="97"/>
      <c r="C126" s="125" t="s">
        <v>205</v>
      </c>
      <c r="D126" s="126"/>
      <c r="E126" s="54"/>
      <c r="F126" s="171">
        <v>1084</v>
      </c>
      <c r="G126" s="208"/>
      <c r="H126" s="23" t="s">
        <v>136</v>
      </c>
      <c r="I126" s="45" t="str">
        <f>IF(ISTEXT(G126),"No text please",IF(G126&lt;0,"No negatives please",IF(ISBLANK(G126),"Please enter a value",IF(AND(G126=0,ISERROR(FIND("zero",K126))),"Please confirm zero",IF(AND(G126&lt;&gt;0,K126="Confirmed zero"),"Value not zero",IF(SUM($G$123:$G$124)&lt;SUM($G$125:$G$126),"10.a. + 10.b. &lt; 10.c. + 10.d.",IF(SUM($G$123:$G$124)&lt;$G$125+$G$126/0.85,"Haircuts not applied?"," ")))))))</f>
        <v>Please enter a value</v>
      </c>
      <c r="J126" s="3"/>
      <c r="K126" s="31"/>
      <c r="L126" s="209"/>
      <c r="M126" s="3"/>
      <c r="N126" s="211"/>
      <c r="O126" s="96"/>
      <c r="P126" s="15"/>
    </row>
    <row r="127" spans="1:16">
      <c r="A127" s="15"/>
      <c r="B127" s="97"/>
      <c r="C127" s="408" t="s">
        <v>263</v>
      </c>
      <c r="D127" s="409"/>
      <c r="E127" s="66"/>
      <c r="F127" s="171">
        <v>1085</v>
      </c>
      <c r="G127" s="43" t="str">
        <f>IF(COUNTIF(I123:I126,"&lt;&gt; ")=0,MAX(SUM(G123:G124)-SUM(G125:G126),0),"")</f>
        <v/>
      </c>
      <c r="H127" s="23" t="s">
        <v>620</v>
      </c>
      <c r="I127" s="3"/>
      <c r="J127" s="3"/>
      <c r="K127" s="3"/>
      <c r="L127" s="3"/>
      <c r="M127" s="3"/>
      <c r="N127" s="3"/>
      <c r="O127" s="96"/>
      <c r="P127" s="15"/>
    </row>
    <row r="128" spans="1:16" ht="19.5">
      <c r="A128" s="15"/>
      <c r="B128" s="103"/>
      <c r="C128" s="18"/>
      <c r="D128" s="18"/>
      <c r="E128" s="10"/>
      <c r="F128" s="29"/>
      <c r="G128" s="11"/>
      <c r="H128" s="17"/>
      <c r="I128" s="11"/>
      <c r="J128" s="3"/>
      <c r="K128" s="2"/>
      <c r="L128" s="11"/>
      <c r="M128" s="3"/>
      <c r="N128" s="11"/>
      <c r="O128" s="96"/>
      <c r="P128" s="3"/>
    </row>
    <row r="129" spans="1:16">
      <c r="A129" s="15"/>
      <c r="B129" s="95"/>
      <c r="C129" s="49" t="s">
        <v>372</v>
      </c>
      <c r="D129" s="50"/>
      <c r="E129" s="51"/>
      <c r="F129" s="67" t="s">
        <v>206</v>
      </c>
      <c r="G129" s="410" t="str">
        <f>G$22</f>
        <v>Amount</v>
      </c>
      <c r="H129" s="23"/>
      <c r="I129" s="28" t="str">
        <f>I$22</f>
        <v>Checks</v>
      </c>
      <c r="J129" s="3"/>
      <c r="K129" s="28" t="str">
        <f>K$22</f>
        <v>Remarks</v>
      </c>
      <c r="L129" s="28" t="str">
        <f>L$22</f>
        <v>Comments</v>
      </c>
      <c r="M129" s="3"/>
      <c r="N129" s="28" t="str">
        <f>N$22</f>
        <v>Supervisor Comments</v>
      </c>
      <c r="O129" s="96"/>
      <c r="P129" s="3"/>
    </row>
    <row r="130" spans="1:16">
      <c r="A130" s="15"/>
      <c r="B130" s="97"/>
      <c r="C130" s="408" t="s">
        <v>390</v>
      </c>
      <c r="D130" s="201"/>
      <c r="E130" s="66"/>
      <c r="F130" s="171">
        <v>1086</v>
      </c>
      <c r="G130" s="38"/>
      <c r="H130" s="23" t="s">
        <v>137</v>
      </c>
      <c r="I130" s="45" t="str">
        <f>IF(ISTEXT(G130),"No text please",IF(G130&lt;0,"No negatives please",IF(ISBLANK(G130),"Please enter a value",IF(AND(G130=0,ISERROR(FIND("zero",K130))),"Please confirm zero",IF(AND(G130&lt;&gt;0,K130="Confirmed zero"),"Value not zero"," ")))))</f>
        <v>Please enter a value</v>
      </c>
      <c r="J130" s="3"/>
      <c r="K130" s="31"/>
      <c r="L130" s="209"/>
      <c r="M130" s="3"/>
      <c r="N130" s="211"/>
      <c r="O130" s="96"/>
      <c r="P130" s="15"/>
    </row>
    <row r="131" spans="1:16">
      <c r="A131" s="15"/>
      <c r="B131" s="140"/>
      <c r="C131" s="141"/>
      <c r="D131" s="141"/>
      <c r="E131" s="132"/>
      <c r="F131" s="142"/>
      <c r="G131" s="132"/>
      <c r="H131" s="143"/>
      <c r="I131" s="132"/>
      <c r="J131" s="132"/>
      <c r="K131" s="132"/>
      <c r="L131" s="132"/>
      <c r="M131" s="132"/>
      <c r="N131" s="132"/>
      <c r="O131" s="144"/>
      <c r="P131" s="3"/>
    </row>
    <row r="132" spans="1:16" ht="15.75">
      <c r="A132" s="15"/>
      <c r="B132" s="59" t="s">
        <v>138</v>
      </c>
      <c r="C132" s="60"/>
      <c r="D132" s="60"/>
      <c r="E132" s="60"/>
      <c r="F132" s="60"/>
      <c r="G132" s="60"/>
      <c r="H132" s="92"/>
      <c r="I132" s="60"/>
      <c r="J132" s="60"/>
      <c r="K132" s="60"/>
      <c r="L132" s="60"/>
      <c r="M132" s="60"/>
      <c r="N132" s="60"/>
      <c r="O132" s="61"/>
      <c r="P132" s="15"/>
    </row>
    <row r="133" spans="1:16" ht="19.5">
      <c r="A133" s="15"/>
      <c r="B133" s="156"/>
      <c r="C133" s="157"/>
      <c r="D133" s="157"/>
      <c r="E133" s="158"/>
      <c r="F133" s="159"/>
      <c r="G133" s="160"/>
      <c r="H133" s="161"/>
      <c r="I133" s="160"/>
      <c r="J133" s="147"/>
      <c r="K133" s="162"/>
      <c r="L133" s="160"/>
      <c r="M133" s="147"/>
      <c r="N133" s="160"/>
      <c r="O133" s="150"/>
      <c r="P133" s="3"/>
    </row>
    <row r="134" spans="1:16">
      <c r="A134" s="15"/>
      <c r="B134" s="95"/>
      <c r="C134" s="49" t="s">
        <v>373</v>
      </c>
      <c r="D134" s="50"/>
      <c r="E134" s="51"/>
      <c r="F134" s="67" t="s">
        <v>206</v>
      </c>
      <c r="G134" s="410" t="str">
        <f>G$22</f>
        <v>Amount</v>
      </c>
      <c r="H134" s="23"/>
      <c r="I134" s="28" t="str">
        <f>I$22</f>
        <v>Checks</v>
      </c>
      <c r="J134" s="3"/>
      <c r="K134" s="28" t="str">
        <f>K$22</f>
        <v>Remarks</v>
      </c>
      <c r="L134" s="28" t="str">
        <f>L$22</f>
        <v>Comments</v>
      </c>
      <c r="M134" s="3"/>
      <c r="N134" s="28" t="str">
        <f>N$22</f>
        <v>Supervisor Comments</v>
      </c>
      <c r="O134" s="96"/>
      <c r="P134" s="3"/>
    </row>
    <row r="135" spans="1:16">
      <c r="A135" s="15"/>
      <c r="B135" s="97"/>
      <c r="C135" s="408" t="s">
        <v>391</v>
      </c>
      <c r="D135" s="201"/>
      <c r="E135" s="66"/>
      <c r="F135" s="171">
        <v>1087</v>
      </c>
      <c r="G135" s="38"/>
      <c r="H135" s="23" t="s">
        <v>267</v>
      </c>
      <c r="I135" s="45" t="str">
        <f>IF(ISTEXT(G135),"No text please",IF(G135&lt;0,"No negatives please",IF(ISBLANK(G135),"Please enter a value",IF(AND(G135=0,ISERROR(FIND("zero",K135))),"Please confirm zero",IF(AND(G135&lt;&gt;0,K135="Confirmed zero"),"Value not zero"," ")))))</f>
        <v>Please enter a value</v>
      </c>
      <c r="J135" s="3"/>
      <c r="K135" s="31"/>
      <c r="L135" s="209"/>
      <c r="M135" s="3"/>
      <c r="N135" s="211"/>
      <c r="O135" s="96"/>
      <c r="P135" s="3"/>
    </row>
    <row r="136" spans="1:16" ht="19.5">
      <c r="A136" s="15"/>
      <c r="B136" s="103"/>
      <c r="C136" s="18"/>
      <c r="D136" s="18"/>
      <c r="E136" s="10"/>
      <c r="F136" s="29"/>
      <c r="G136" s="11"/>
      <c r="H136" s="17"/>
      <c r="I136" s="11"/>
      <c r="J136" s="3"/>
      <c r="K136" s="2"/>
      <c r="L136" s="11"/>
      <c r="M136" s="3"/>
      <c r="N136" s="11"/>
      <c r="O136" s="96"/>
      <c r="P136" s="3"/>
    </row>
    <row r="137" spans="1:16">
      <c r="A137" s="15"/>
      <c r="B137" s="95"/>
      <c r="C137" s="49" t="s">
        <v>374</v>
      </c>
      <c r="D137" s="50"/>
      <c r="E137" s="51"/>
      <c r="F137" s="76" t="s">
        <v>206</v>
      </c>
      <c r="G137" s="410" t="str">
        <f>G$22</f>
        <v>Amount</v>
      </c>
      <c r="H137" s="23"/>
      <c r="I137" s="28" t="str">
        <f>I$22</f>
        <v>Checks</v>
      </c>
      <c r="J137" s="3"/>
      <c r="K137" s="28" t="str">
        <f>K$22</f>
        <v>Remarks</v>
      </c>
      <c r="L137" s="28" t="str">
        <f>L$22</f>
        <v>Comments</v>
      </c>
      <c r="M137" s="3"/>
      <c r="N137" s="28" t="str">
        <f>N$22</f>
        <v>Supervisor Comments</v>
      </c>
      <c r="O137" s="96"/>
      <c r="P137" s="3"/>
    </row>
    <row r="138" spans="1:16">
      <c r="A138" s="15"/>
      <c r="B138" s="97"/>
      <c r="C138" s="52" t="s">
        <v>148</v>
      </c>
      <c r="D138" s="53"/>
      <c r="E138" s="54"/>
      <c r="F138" s="171">
        <v>1088</v>
      </c>
      <c r="G138" s="38"/>
      <c r="H138" s="23" t="s">
        <v>139</v>
      </c>
      <c r="I138" s="45" t="str">
        <f>IF(ISTEXT(G138),"No text please",IF(G138&lt;0,"No negatives please",IF(ISBLANK(G138),"Please enter a value",IF(AND(G138=0,ISERROR(FIND("zero",K138))),"Please confirm zero",IF(AND(G138&lt;&gt;0,K138="Confirmed zero"),"Value not zero",IF($G$138&lt;$G$139,"&lt; 13.a.(1)"," "))))))</f>
        <v>Please enter a value</v>
      </c>
      <c r="J138" s="3"/>
      <c r="K138" s="31"/>
      <c r="L138" s="209"/>
      <c r="M138" s="3"/>
      <c r="N138" s="211"/>
      <c r="O138" s="96"/>
      <c r="P138" s="15"/>
    </row>
    <row r="139" spans="1:16">
      <c r="A139" s="15"/>
      <c r="B139" s="97"/>
      <c r="C139" s="172" t="s">
        <v>162</v>
      </c>
      <c r="D139" s="56"/>
      <c r="E139" s="54"/>
      <c r="F139" s="171">
        <v>1089</v>
      </c>
      <c r="G139" s="38"/>
      <c r="H139" s="23" t="s">
        <v>141</v>
      </c>
      <c r="I139" s="45" t="str">
        <f>IF(ISTEXT(G139),"No text please",IF(G139&lt;0,"No negatives please",IF(ISBLANK(G139),"Please enter a value",IF(AND(G139=0,ISERROR(FIND("zero",K139))),"Please confirm zero",IF(AND(G139&lt;&gt;0,K139="Confirmed zero"),"Value not zero",IF($G$138&lt;$G$139,"&gt; 13.a."," "))))))</f>
        <v>Please enter a value</v>
      </c>
      <c r="J139" s="3"/>
      <c r="K139" s="31"/>
      <c r="L139" s="209"/>
      <c r="M139" s="3"/>
      <c r="N139" s="211"/>
      <c r="O139" s="96"/>
      <c r="P139" s="15"/>
    </row>
    <row r="140" spans="1:16">
      <c r="A140" s="15"/>
      <c r="B140" s="97"/>
      <c r="C140" s="52" t="s">
        <v>149</v>
      </c>
      <c r="D140" s="53"/>
      <c r="E140" s="54"/>
      <c r="F140" s="42">
        <v>1090</v>
      </c>
      <c r="G140" s="38"/>
      <c r="H140" s="23" t="s">
        <v>140</v>
      </c>
      <c r="I140" s="45" t="str">
        <f>IF(ISTEXT(G140),"No text please",IF(G140&lt;0,"No negatives please",IF(ISBLANK(G140),"Please enter a value",IF(AND(G140=0,ISERROR(FIND("zero",K140))),"Please confirm zero",IF(AND(G140&lt;&gt;0,K140="Confirmed zero"),"Value not zero"," ")))))</f>
        <v>Please enter a value</v>
      </c>
      <c r="J140" s="3"/>
      <c r="K140" s="31"/>
      <c r="L140" s="209"/>
      <c r="M140" s="3"/>
      <c r="N140" s="211"/>
      <c r="O140" s="96"/>
      <c r="P140" s="15"/>
    </row>
    <row r="141" spans="1:16">
      <c r="A141" s="15"/>
      <c r="B141" s="97"/>
      <c r="C141" s="408" t="s">
        <v>621</v>
      </c>
      <c r="D141" s="409"/>
      <c r="E141" s="66"/>
      <c r="F141" s="171">
        <v>1091</v>
      </c>
      <c r="G141" s="43" t="str">
        <f>IF(COUNTIF(I138:I140,"&lt;&gt; ")=0,MAX(G138-G139,0)+G140,"")</f>
        <v/>
      </c>
      <c r="H141" s="23" t="s">
        <v>622</v>
      </c>
      <c r="I141" s="3"/>
      <c r="J141" s="3"/>
      <c r="K141" s="3"/>
      <c r="L141" s="3"/>
      <c r="M141" s="3"/>
      <c r="N141" s="3"/>
      <c r="O141" s="96"/>
      <c r="P141" s="15"/>
    </row>
    <row r="142" spans="1:16">
      <c r="A142" s="15"/>
      <c r="B142" s="140"/>
      <c r="C142" s="141"/>
      <c r="D142" s="141"/>
      <c r="E142" s="132"/>
      <c r="F142" s="142"/>
      <c r="G142" s="132"/>
      <c r="H142" s="143"/>
      <c r="I142" s="132"/>
      <c r="J142" s="132"/>
      <c r="K142" s="132"/>
      <c r="L142" s="132"/>
      <c r="M142" s="132"/>
      <c r="N142" s="132"/>
      <c r="O142" s="144"/>
      <c r="P142" s="3"/>
    </row>
    <row r="143" spans="1:16" ht="15.75">
      <c r="A143" s="15"/>
      <c r="B143" s="59" t="s">
        <v>269</v>
      </c>
      <c r="C143" s="60"/>
      <c r="D143" s="60"/>
      <c r="E143" s="60"/>
      <c r="F143" s="60"/>
      <c r="G143" s="60"/>
      <c r="H143" s="92"/>
      <c r="I143" s="60"/>
      <c r="J143" s="60"/>
      <c r="K143" s="60"/>
      <c r="L143" s="60"/>
      <c r="M143" s="60"/>
      <c r="N143" s="60"/>
      <c r="O143" s="61"/>
      <c r="P143" s="15"/>
    </row>
    <row r="144" spans="1:16" ht="19.5">
      <c r="A144" s="15"/>
      <c r="B144" s="156"/>
      <c r="C144" s="157"/>
      <c r="D144" s="157"/>
      <c r="E144" s="158"/>
      <c r="F144" s="159"/>
      <c r="G144" s="160"/>
      <c r="H144" s="161"/>
      <c r="I144" s="160"/>
      <c r="J144" s="147"/>
      <c r="K144" s="162"/>
      <c r="L144" s="160"/>
      <c r="M144" s="147"/>
      <c r="N144" s="160"/>
      <c r="O144" s="150"/>
      <c r="P144" s="3"/>
    </row>
    <row r="145" spans="1:16">
      <c r="A145" s="15"/>
      <c r="B145" s="95"/>
      <c r="C145" s="49" t="s">
        <v>375</v>
      </c>
      <c r="D145" s="50"/>
      <c r="E145" s="51"/>
      <c r="F145" s="67" t="s">
        <v>206</v>
      </c>
      <c r="G145" s="410" t="str">
        <f>G$22</f>
        <v>Amount</v>
      </c>
      <c r="H145" s="23"/>
      <c r="I145" s="28" t="str">
        <f>I$22</f>
        <v>Checks</v>
      </c>
      <c r="J145" s="3"/>
      <c r="K145" s="28" t="str">
        <f>K$22</f>
        <v>Remarks</v>
      </c>
      <c r="L145" s="28" t="str">
        <f>L$22</f>
        <v>Comments</v>
      </c>
      <c r="M145" s="3"/>
      <c r="N145" s="28" t="str">
        <f>N$22</f>
        <v>Supervisor Comments</v>
      </c>
      <c r="O145" s="96"/>
      <c r="P145" s="3"/>
    </row>
    <row r="146" spans="1:16">
      <c r="A146" s="15"/>
      <c r="B146" s="97"/>
      <c r="C146" s="52" t="s">
        <v>142</v>
      </c>
      <c r="D146" s="53"/>
      <c r="E146" s="54"/>
      <c r="F146" s="171">
        <v>1092</v>
      </c>
      <c r="G146" s="38"/>
      <c r="H146" s="23" t="s">
        <v>150</v>
      </c>
      <c r="I146" s="45" t="str">
        <f>IF(ISTEXT(G146),"No text please",IF(G146&lt;0,"No negatives please",IF(ISBLANK(G146),"Please enter a value",IF(AND(G146=0,ISERROR(FIND("zero",K146))),"Please confirm zero",IF(AND(G146&lt;&gt;0,K146="Confirmed zero"),"Value not zero",IF($G$146&lt;$G$147,"&lt; 14.b.",IF(AND($G$76&lt;&gt;"",$G$146&lt;$G$76),"&lt; 4.f."," ")))))))</f>
        <v>Please enter a value</v>
      </c>
      <c r="J146" s="3"/>
      <c r="K146" s="31"/>
      <c r="L146" s="209"/>
      <c r="M146" s="3"/>
      <c r="N146" s="211"/>
      <c r="O146" s="96"/>
      <c r="P146" s="15"/>
    </row>
    <row r="147" spans="1:16">
      <c r="A147" s="15"/>
      <c r="B147" s="97"/>
      <c r="C147" s="52" t="s">
        <v>143</v>
      </c>
      <c r="D147" s="53"/>
      <c r="E147" s="54"/>
      <c r="F147" s="171">
        <v>1093</v>
      </c>
      <c r="G147" s="38"/>
      <c r="H147" s="23" t="s">
        <v>151</v>
      </c>
      <c r="I147" s="45" t="str">
        <f>IF(ISTEXT(G147),"No text please",IF(G147&lt;0,"No negatives please",IF(ISBLANK(G147),"Please enter a value",IF(AND(G147=0,ISERROR(FIND("zero",K147))),"Please confirm zero",IF(AND(G147&lt;&gt;0,K147="Confirmed zero"),"Value not zero",IF($G$146&lt;$G$147,"&gt; 14.a."," "))))))</f>
        <v>Please enter a value</v>
      </c>
      <c r="J147" s="3"/>
      <c r="K147" s="31"/>
      <c r="L147" s="209"/>
      <c r="M147" s="3"/>
      <c r="N147" s="211"/>
      <c r="O147" s="96"/>
      <c r="P147" s="15"/>
    </row>
    <row r="148" spans="1:16">
      <c r="A148" s="15"/>
      <c r="B148" s="97"/>
      <c r="C148" s="52" t="s">
        <v>167</v>
      </c>
      <c r="D148" s="53"/>
      <c r="E148" s="54"/>
      <c r="F148" s="171">
        <v>1094</v>
      </c>
      <c r="G148" s="75" t="str">
        <f>IF(AND(COUNTIF(I146:I147,"&lt;&gt; ")=0,G146&lt;&gt;0),(G146-G147)/G146,"")</f>
        <v/>
      </c>
      <c r="H148" s="23" t="s">
        <v>152</v>
      </c>
      <c r="I148" s="32"/>
      <c r="J148" s="3"/>
      <c r="K148" s="32"/>
      <c r="L148" s="32"/>
      <c r="M148" s="3"/>
      <c r="N148" s="32"/>
      <c r="O148" s="96"/>
      <c r="P148" s="15"/>
    </row>
    <row r="149" spans="1:16">
      <c r="A149" s="15"/>
      <c r="B149" s="97"/>
      <c r="C149" s="52" t="s">
        <v>407</v>
      </c>
      <c r="D149" s="53"/>
      <c r="E149" s="54"/>
      <c r="F149" s="171">
        <v>1095</v>
      </c>
      <c r="G149" s="208"/>
      <c r="H149" s="23" t="s">
        <v>153</v>
      </c>
      <c r="I149" s="45" t="str">
        <f>IF(ISTEXT(G149),"No text please",IF(ISBLANK(G149),"Please enter a value",IF(AND(G149=0,ISERROR(FIND("zero",K149))),"Please confirm zero",IF(AND(G149&lt;&gt;0,K149="Confirmed zero"),"Value not zero"," "))))</f>
        <v>Please enter a value</v>
      </c>
      <c r="J149" s="3"/>
      <c r="K149" s="31"/>
      <c r="L149" s="209"/>
      <c r="M149" s="3"/>
      <c r="N149" s="211"/>
      <c r="O149" s="96"/>
      <c r="P149" s="15"/>
    </row>
    <row r="150" spans="1:16">
      <c r="A150" s="15"/>
      <c r="B150" s="97"/>
      <c r="C150" s="52" t="s">
        <v>144</v>
      </c>
      <c r="D150" s="53"/>
      <c r="E150" s="54"/>
      <c r="F150" s="171">
        <v>1096</v>
      </c>
      <c r="G150" s="38"/>
      <c r="H150" s="23" t="s">
        <v>154</v>
      </c>
      <c r="I150" s="45" t="str">
        <f>IF(ISTEXT(G150),"No text please",IF(ISBLANK(G150),"Please enter a value",IF(AND(G150=0,ISERROR(FIND("zero",K150))),"Please confirm zero",IF(AND(G150&lt;&gt;0,K150="Confirmed zero"),"Value not zero"," "))))</f>
        <v>Please enter a value</v>
      </c>
      <c r="J150" s="3"/>
      <c r="K150" s="31"/>
      <c r="L150" s="209"/>
      <c r="M150" s="3"/>
      <c r="N150" s="211"/>
      <c r="O150" s="96"/>
      <c r="P150" s="15"/>
    </row>
    <row r="151" spans="1:16">
      <c r="A151" s="15"/>
      <c r="B151" s="97"/>
      <c r="C151" s="52" t="s">
        <v>408</v>
      </c>
      <c r="D151" s="53"/>
      <c r="E151" s="54"/>
      <c r="F151" s="171">
        <v>1097</v>
      </c>
      <c r="G151" s="38"/>
      <c r="H151" s="23" t="s">
        <v>155</v>
      </c>
      <c r="I151" s="45" t="str">
        <f>IF(ISTEXT(G151),"No text please",IF(G151&lt;0,"No negatives please",IF(ISBLANK(G151),"Please enter a value",IF(AND(G151=0,ISERROR(FIND("zero",K151))),"Please confirm zero",IF(AND(G151&lt;&gt;0,K151="Confirmed zero"),"Value not zero"," ")))))</f>
        <v>Please enter a value</v>
      </c>
      <c r="J151" s="3"/>
      <c r="K151" s="31"/>
      <c r="L151" s="209"/>
      <c r="M151" s="3"/>
      <c r="N151" s="211"/>
      <c r="O151" s="96"/>
      <c r="P151" s="15"/>
    </row>
    <row r="152" spans="1:16">
      <c r="A152" s="15"/>
      <c r="B152" s="97"/>
      <c r="C152" s="52" t="s">
        <v>160</v>
      </c>
      <c r="D152" s="53"/>
      <c r="E152" s="54"/>
      <c r="F152" s="171">
        <v>1098</v>
      </c>
      <c r="G152" s="38"/>
      <c r="H152" s="23" t="s">
        <v>156</v>
      </c>
      <c r="I152" s="45" t="str">
        <f>IF(ISTEXT(G152),"No text please",IF(G152&lt;0,"No negatives please",IF(ISBLANK(G152),"Please enter a value",IF(AND(G152=0,ISERROR(FIND("zero",K152))),"Please confirm zero",IF(AND(G152&lt;&gt;0,K152="Confirmed zero"),"Value not zero"," ")))))</f>
        <v>Please enter a value</v>
      </c>
      <c r="J152" s="3"/>
      <c r="K152" s="31"/>
      <c r="L152" s="209"/>
      <c r="M152" s="3"/>
      <c r="N152" s="211"/>
      <c r="O152" s="96"/>
      <c r="P152" s="15"/>
    </row>
    <row r="153" spans="1:16">
      <c r="A153" s="15"/>
      <c r="B153" s="97"/>
      <c r="C153" s="52" t="s">
        <v>145</v>
      </c>
      <c r="D153" s="53"/>
      <c r="E153" s="54"/>
      <c r="F153" s="171">
        <v>1099</v>
      </c>
      <c r="G153" s="38"/>
      <c r="H153" s="23" t="s">
        <v>157</v>
      </c>
      <c r="I153" s="45" t="str">
        <f>IF(ISTEXT(G153),"No text please",IF(G153&lt;0,"No negatives please",IF(ISBLANK(G153),"Please enter a value",IF(AND(G153=0,ISERROR(FIND("zero",K153))),"Please confirm zero",IF(AND(G153&lt;&gt;0,K153="Confirmed zero"),"Value not zero"," ")))))</f>
        <v>Please enter a value</v>
      </c>
      <c r="J153" s="3"/>
      <c r="K153" s="31"/>
      <c r="L153" s="209"/>
      <c r="M153" s="3"/>
      <c r="N153" s="211"/>
      <c r="O153" s="96"/>
      <c r="P153" s="15"/>
    </row>
    <row r="154" spans="1:16">
      <c r="A154" s="15"/>
      <c r="B154" s="97"/>
      <c r="C154" s="52" t="s">
        <v>146</v>
      </c>
      <c r="D154" s="53"/>
      <c r="E154" s="54"/>
      <c r="F154" s="171">
        <v>1100</v>
      </c>
      <c r="G154" s="38"/>
      <c r="H154" s="23" t="s">
        <v>623</v>
      </c>
      <c r="I154" s="45" t="str">
        <f>IF(ISTEXT(G154),"No text please",IF(G154&lt;0,"No negatives please",IF(ISBLANK(G154),"Please enter a value",IF(AND(G154=0,ISERROR(FIND("zero",K154))),"Please confirm zero",IF(AND(G154&lt;&gt;0,K154="Confirmed zero"),"Value not zero"," ")))))</f>
        <v>Please enter a value</v>
      </c>
      <c r="J154" s="3"/>
      <c r="K154" s="31"/>
      <c r="L154" s="209"/>
      <c r="M154" s="3"/>
      <c r="N154" s="211"/>
      <c r="O154" s="96"/>
      <c r="P154" s="15"/>
    </row>
    <row r="155" spans="1:16">
      <c r="A155" s="15"/>
      <c r="B155" s="97"/>
      <c r="C155" s="52" t="s">
        <v>624</v>
      </c>
      <c r="D155" s="53"/>
      <c r="E155" s="54"/>
      <c r="F155" s="171">
        <v>1101</v>
      </c>
      <c r="G155" s="38"/>
      <c r="H155" s="23" t="s">
        <v>625</v>
      </c>
      <c r="I155" s="45" t="str">
        <f>IF(ISTEXT(G155),"No text please",IF(G155&lt;0,"No negatives please",IF(ISBLANK(G155),"Please enter a value",IF(AND(G155=0,ISERROR(FIND("zero",K155))),"Please confirm zero",IF(AND(G155&lt;&gt;0,K155="Confirmed zero"),"Value not zero"," ")))))</f>
        <v>Please enter a value</v>
      </c>
      <c r="J155" s="3"/>
      <c r="K155" s="31"/>
      <c r="L155" s="209"/>
      <c r="M155" s="3"/>
      <c r="N155" s="211"/>
      <c r="O155" s="96"/>
      <c r="P155" s="15"/>
    </row>
    <row r="156" spans="1:16">
      <c r="A156" s="15"/>
      <c r="B156" s="97"/>
      <c r="C156" s="16"/>
      <c r="D156" s="16"/>
      <c r="E156" s="16"/>
      <c r="F156" s="30"/>
      <c r="G156" s="410"/>
      <c r="H156" s="23"/>
      <c r="I156" s="23"/>
      <c r="J156" s="3"/>
      <c r="K156" s="23"/>
      <c r="L156" s="23"/>
      <c r="M156" s="3"/>
      <c r="N156" s="23"/>
      <c r="O156" s="106"/>
      <c r="P156" s="15"/>
    </row>
    <row r="157" spans="1:16">
      <c r="A157" s="15"/>
      <c r="B157" s="97"/>
      <c r="C157" s="16"/>
      <c r="D157" s="16"/>
      <c r="E157" s="16"/>
      <c r="F157" s="30"/>
      <c r="G157" s="410" t="s">
        <v>161</v>
      </c>
      <c r="H157" s="23"/>
      <c r="I157" s="28" t="str">
        <f>I$22</f>
        <v>Checks</v>
      </c>
      <c r="J157" s="3"/>
      <c r="K157" s="28" t="str">
        <f>K$22</f>
        <v>Remarks</v>
      </c>
      <c r="L157" s="28" t="str">
        <f>L$22</f>
        <v>Comments</v>
      </c>
      <c r="M157" s="3"/>
      <c r="N157" s="28" t="str">
        <f>N$22</f>
        <v>Supervisor Comments</v>
      </c>
      <c r="O157" s="106"/>
      <c r="P157" s="15"/>
    </row>
    <row r="158" spans="1:16">
      <c r="A158" s="15"/>
      <c r="B158" s="97"/>
      <c r="C158" s="52" t="s">
        <v>147</v>
      </c>
      <c r="D158" s="53"/>
      <c r="E158" s="74"/>
      <c r="F158" s="171">
        <v>1102</v>
      </c>
      <c r="G158" s="73"/>
      <c r="H158" s="23" t="s">
        <v>158</v>
      </c>
      <c r="I158" s="45" t="str">
        <f>IF(ISTEXT(G158),"No text please",IF(G158&lt;0,"No negatives please",IF(ISBLANK(G158),"Please enter a value",IF(G158=0,"Cannot be zero",IF(AND(G158&lt;&gt;0,K158="Confirmed zero"),"Value not zero",IF(INT(G158)=G158," ","Integers only"))))))</f>
        <v>Please enter a value</v>
      </c>
      <c r="J158" s="3"/>
      <c r="K158" s="31"/>
      <c r="L158" s="209"/>
      <c r="M158" s="3"/>
      <c r="N158" s="211"/>
      <c r="O158" s="96"/>
      <c r="P158" s="15"/>
    </row>
    <row r="159" spans="1:16" ht="19.5">
      <c r="A159" s="15"/>
      <c r="B159" s="103"/>
      <c r="C159" s="18"/>
      <c r="D159" s="18"/>
      <c r="E159" s="10"/>
      <c r="F159" s="29"/>
      <c r="G159" s="11"/>
      <c r="H159" s="17"/>
      <c r="I159" s="11"/>
      <c r="J159" s="3"/>
      <c r="K159" s="2"/>
      <c r="L159" s="11"/>
      <c r="M159" s="3"/>
      <c r="N159" s="11"/>
      <c r="O159" s="96"/>
      <c r="P159" s="3"/>
    </row>
    <row r="160" spans="1:16">
      <c r="A160" s="15"/>
      <c r="B160" s="95"/>
      <c r="C160" s="49" t="s">
        <v>376</v>
      </c>
      <c r="D160" s="50"/>
      <c r="E160" s="62"/>
      <c r="F160" s="67" t="s">
        <v>206</v>
      </c>
      <c r="G160" s="410" t="str">
        <f>G$22</f>
        <v>Amount</v>
      </c>
      <c r="H160" s="23"/>
      <c r="I160" s="28" t="str">
        <f>I$22</f>
        <v>Checks</v>
      </c>
      <c r="J160" s="3"/>
      <c r="K160" s="28" t="str">
        <f>K$22</f>
        <v>Remarks</v>
      </c>
      <c r="L160" s="28" t="str">
        <f>L$22</f>
        <v>Comments</v>
      </c>
      <c r="M160" s="3"/>
      <c r="N160" s="28" t="str">
        <f>N$22</f>
        <v>Supervisor Comments</v>
      </c>
      <c r="O160" s="96"/>
      <c r="P160" s="3"/>
    </row>
    <row r="161" spans="1:16">
      <c r="A161" s="15"/>
      <c r="B161" s="97"/>
      <c r="C161" s="52" t="s">
        <v>392</v>
      </c>
      <c r="D161" s="53"/>
      <c r="E161" s="54"/>
      <c r="F161" s="171">
        <v>1103</v>
      </c>
      <c r="G161" s="38"/>
      <c r="H161" s="23" t="s">
        <v>199</v>
      </c>
      <c r="I161" s="45" t="str">
        <f>IF(ISTEXT(G161),"No text please",IF(G161&lt;0,"No negatives please",IF(ISBLANK(G161),"Please enter a value",IF(AND(G161=0,ISERROR(FIND("zero",K161))),"Please confirm zero",IF(AND(G161&lt;&gt;0,K161="Confirmed zero"),"Value not zero",IF($G$161&lt;$G$162,"&lt; 15.b."," "))))))</f>
        <v>Please enter a value</v>
      </c>
      <c r="J161" s="3"/>
      <c r="K161" s="31"/>
      <c r="L161" s="209"/>
      <c r="M161" s="3"/>
      <c r="N161" s="211"/>
      <c r="O161" s="96"/>
      <c r="P161" s="15"/>
    </row>
    <row r="162" spans="1:16">
      <c r="A162" s="15"/>
      <c r="B162" s="97"/>
      <c r="C162" s="52" t="s">
        <v>393</v>
      </c>
      <c r="D162" s="53"/>
      <c r="E162" s="54"/>
      <c r="F162" s="171">
        <v>1104</v>
      </c>
      <c r="G162" s="38"/>
      <c r="H162" s="23" t="s">
        <v>200</v>
      </c>
      <c r="I162" s="45" t="str">
        <f>IF(ISTEXT(G162),"No text please",IF(G162&lt;0,"No negatives please",IF(ISBLANK(G162),"Please enter a value",IF(AND(G162=0,ISERROR(FIND("zero",K162))),"Please confirm zero",IF(AND(G162&lt;&gt;0,K162="Confirmed zero"),"Value not zero",IF($G$161&lt;$G$162,"&gt; 15.a."," "))))))</f>
        <v>Please enter a value</v>
      </c>
      <c r="J162" s="3"/>
      <c r="K162" s="31"/>
      <c r="L162" s="209"/>
      <c r="M162" s="3"/>
      <c r="N162" s="211"/>
      <c r="O162" s="96"/>
      <c r="P162" s="15"/>
    </row>
    <row r="163" spans="1:16">
      <c r="A163" s="15"/>
      <c r="B163" s="97"/>
      <c r="C163" s="52" t="s">
        <v>415</v>
      </c>
      <c r="D163" s="53"/>
      <c r="E163" s="54"/>
      <c r="F163" s="171">
        <v>1105</v>
      </c>
      <c r="G163" s="38"/>
      <c r="H163" s="23" t="s">
        <v>201</v>
      </c>
      <c r="I163" s="45" t="str">
        <f>IF(ISTEXT(G163),"No text please",IF(G163&lt;0,"No negatives please",IF(ISBLANK(G163),"Please enter a value",IF(AND(G163=0,ISERROR(FIND("zero",K163))),"Please confirm zero",IF(AND(G163&lt;&gt;0,K163="Confirmed zero"),"Value not zero"," ")))))</f>
        <v>Please enter a value</v>
      </c>
      <c r="J163" s="3"/>
      <c r="K163" s="31"/>
      <c r="L163" s="209"/>
      <c r="M163" s="3"/>
      <c r="N163" s="211"/>
      <c r="O163" s="96"/>
      <c r="P163" s="15"/>
    </row>
    <row r="164" spans="1:16">
      <c r="A164" s="15"/>
      <c r="B164" s="97"/>
      <c r="C164" s="52" t="s">
        <v>397</v>
      </c>
      <c r="D164" s="53"/>
      <c r="E164" s="54"/>
      <c r="F164" s="171">
        <v>1106</v>
      </c>
      <c r="G164" s="208"/>
      <c r="H164" s="23" t="s">
        <v>202</v>
      </c>
      <c r="I164" s="45" t="str">
        <f>IF(ISTEXT(G164),"No text please",IF(G164&lt;0,"No negatives please",IF(ISBLANK(G164),"Please enter a value",IF(AND(G164=0,ISERROR(FIND("zero",K164))),"Please confirm zero",IF(AND(G164&lt;&gt;0,K164="Confirmed zero"),"Value not zero",IF($G$83&lt;$G$164,"&gt; 5.e"," "))))))</f>
        <v>Please enter a value</v>
      </c>
      <c r="J164" s="3"/>
      <c r="K164" s="31"/>
      <c r="L164" s="209"/>
      <c r="M164" s="3"/>
      <c r="N164" s="211"/>
      <c r="O164" s="96"/>
      <c r="P164" s="15"/>
    </row>
    <row r="165" spans="1:16">
      <c r="A165" s="15"/>
      <c r="B165" s="97"/>
      <c r="C165" s="52" t="s">
        <v>398</v>
      </c>
      <c r="D165" s="53"/>
      <c r="E165" s="54"/>
      <c r="F165" s="171">
        <v>1107</v>
      </c>
      <c r="G165" s="208"/>
      <c r="H165" s="23" t="s">
        <v>203</v>
      </c>
      <c r="I165" s="45" t="str">
        <f>IF(ISTEXT(G165),"No text please",IF(G165&lt;0,"No negatives please",IF(ISBLANK(G165),"Please enter a value",IF(AND(G165=0,ISERROR(FIND("zero",K165))),"Please confirm zero",IF(AND(G165&lt;&gt;0,K165="Confirmed zero"),"Value not zero"," ")))))</f>
        <v>Please enter a value</v>
      </c>
      <c r="J165" s="3"/>
      <c r="K165" s="31"/>
      <c r="L165" s="209"/>
      <c r="M165" s="3"/>
      <c r="N165" s="211"/>
      <c r="O165" s="96"/>
      <c r="P165" s="15"/>
    </row>
    <row r="166" spans="1:16">
      <c r="A166" s="15"/>
      <c r="B166" s="97"/>
      <c r="C166" s="16"/>
      <c r="D166" s="16"/>
      <c r="E166" s="16"/>
      <c r="F166" s="30"/>
      <c r="G166" s="410"/>
      <c r="H166" s="23"/>
      <c r="I166" s="23"/>
      <c r="J166" s="3"/>
      <c r="K166" s="23"/>
      <c r="L166" s="23"/>
      <c r="M166" s="3"/>
      <c r="N166" s="23"/>
      <c r="O166" s="106"/>
      <c r="P166" s="15"/>
    </row>
    <row r="167" spans="1:16" ht="19.5" customHeight="1">
      <c r="A167" s="15"/>
      <c r="B167" s="103"/>
      <c r="C167" s="18"/>
      <c r="D167" s="415" t="s">
        <v>191</v>
      </c>
      <c r="E167" s="415" t="s">
        <v>514</v>
      </c>
      <c r="F167" s="410"/>
      <c r="G167" s="416" t="str">
        <f>G$22</f>
        <v>Amount</v>
      </c>
      <c r="H167" s="17"/>
      <c r="I167" s="11"/>
      <c r="J167" s="3"/>
      <c r="K167" s="2"/>
      <c r="L167" s="11"/>
      <c r="M167" s="3"/>
      <c r="N167" s="11"/>
      <c r="O167" s="96"/>
      <c r="P167" s="3"/>
    </row>
    <row r="168" spans="1:16" ht="15.75">
      <c r="A168" s="15"/>
      <c r="B168" s="103"/>
      <c r="C168" s="180" t="s">
        <v>399</v>
      </c>
      <c r="D168" s="415"/>
      <c r="E168" s="415"/>
      <c r="F168" s="48" t="s">
        <v>206</v>
      </c>
      <c r="G168" s="416"/>
      <c r="H168" s="23"/>
      <c r="I168" s="28" t="str">
        <f>I$22</f>
        <v>Checks</v>
      </c>
      <c r="J168" s="3"/>
      <c r="K168" s="28" t="str">
        <f>K$22</f>
        <v>Remarks</v>
      </c>
      <c r="L168" s="28" t="str">
        <f>L$22</f>
        <v>Comments</v>
      </c>
      <c r="M168" s="3"/>
      <c r="N168" s="28" t="str">
        <f>N$22</f>
        <v>Supervisor Comments</v>
      </c>
      <c r="O168" s="96"/>
      <c r="P168" s="3"/>
    </row>
    <row r="169" spans="1:16">
      <c r="A169" s="15"/>
      <c r="B169" s="97"/>
      <c r="C169" s="172" t="s">
        <v>192</v>
      </c>
      <c r="D169" s="177" t="s">
        <v>169</v>
      </c>
      <c r="E169" s="173"/>
      <c r="F169" s="171">
        <v>1108</v>
      </c>
      <c r="G169" s="174" t="str">
        <f>IF(AND(ISNUMBER(E169),VLOOKUP(D169,$D$238:$I$252,COLUMNS($D$238:$I$252),FALSE)=" "),E169*VLOOKUP(D169,$D$238:$E$252,2,FALSE)," ")</f>
        <v xml:space="preserve"> </v>
      </c>
      <c r="H169" s="23" t="s">
        <v>394</v>
      </c>
      <c r="I169" s="45" t="str">
        <f>IF(ISTEXT(E169),"No text please",IF(E169&lt;0,"No negatives please",IF(ISBLANK(E169),"Please enter a value",IF(AND(E169=0,ISERROR(FIND("zero",K169))),"Please confirm zero",IF(AND(E169&lt;&gt;0,K169="Confirmed zero"),"Value not zero",IF(VLOOKUP(D169,$D$229:$I$243,COLUMNS($D$229:$I$243),FALSE)&lt;&gt;" ","See item "&amp;VLOOKUP(D169,$D$229:$I$243,COLUMNS($D$229:$I$243)-1,FALSE)," "))))))</f>
        <v>Please enter a value</v>
      </c>
      <c r="J169" s="3"/>
      <c r="K169" s="31"/>
      <c r="L169" s="209"/>
      <c r="M169" s="3"/>
      <c r="N169" s="211"/>
      <c r="O169" s="96"/>
      <c r="P169" s="15"/>
    </row>
    <row r="170" spans="1:16">
      <c r="A170" s="15"/>
      <c r="B170" s="97"/>
      <c r="C170" s="172" t="s">
        <v>190</v>
      </c>
      <c r="D170" s="177" t="s">
        <v>170</v>
      </c>
      <c r="E170" s="175"/>
      <c r="F170" s="171">
        <v>1109</v>
      </c>
      <c r="G170" s="174" t="str">
        <f>IF(AND(ISNUMBER(E170),VLOOKUP(D170,$D$238:$I$252,COLUMNS($D$238:$I$252),FALSE)=" "),E170*VLOOKUP(D170,$D$238:$E$252,2,FALSE)," ")</f>
        <v xml:space="preserve"> </v>
      </c>
      <c r="H170" s="23" t="s">
        <v>395</v>
      </c>
      <c r="I170" s="45" t="str">
        <f>IF(ISTEXT(E170),"No text please",IF(E170&lt;0,"No negatives please",IF(ISBLANK(E170),"Please enter a value",IF(AND(E170=0,ISERROR(FIND("zero",K170))),"Please confirm zero",IF(AND(E170&lt;&gt;0,K170="Confirmed zero"),"Value not zero",IF(VLOOKUP(D170,$D$229:$I$243,COLUMNS($D$229:$I$243),FALSE)&lt;&gt;" ","See item "&amp;VLOOKUP(D170,$D$229:$I$243,COLUMNS($D$229:$I$243)-1,FALSE)," "))))))</f>
        <v>Please enter a value</v>
      </c>
      <c r="J170" s="3"/>
      <c r="K170" s="31"/>
      <c r="L170" s="209"/>
      <c r="M170" s="3"/>
      <c r="N170" s="211"/>
      <c r="O170" s="96"/>
      <c r="P170" s="15"/>
    </row>
    <row r="171" spans="1:16">
      <c r="A171" s="15"/>
      <c r="B171" s="97"/>
      <c r="C171" s="172" t="s">
        <v>193</v>
      </c>
      <c r="D171" s="177" t="s">
        <v>27</v>
      </c>
      <c r="E171" s="176"/>
      <c r="F171" s="171">
        <v>1110</v>
      </c>
      <c r="G171" s="174" t="str">
        <f>IF(AND(ISNUMBER(E171),VLOOKUP(D171,$D$238:$I$252,COLUMNS($D$238:$I$252),FALSE)=" "),E171*VLOOKUP(D171,$D$238:$E$252,2,FALSE)," ")</f>
        <v xml:space="preserve"> </v>
      </c>
      <c r="H171" s="23" t="s">
        <v>396</v>
      </c>
      <c r="I171" s="45" t="str">
        <f>IF(ISTEXT(E171),"No text please",IF(E171&lt;0,"No negatives please",IF(ISBLANK(E171),"Please enter a value",IF(AND(E171=0,ISERROR(FIND("zero",K171))),"Please confirm zero",IF(AND(E171&lt;&gt;0,K171="Confirmed zero"),"Value not zero",IF(VLOOKUP(D171,$D$229:$I$243,COLUMNS($D$229:$I$243),FALSE)&lt;&gt;" ","See item "&amp;VLOOKUP(D171,$D$229:$I$243,COLUMNS($D$229:$I$243)-1,FALSE)," "))))))</f>
        <v>Please enter a value</v>
      </c>
      <c r="J171" s="3"/>
      <c r="K171" s="31"/>
      <c r="L171" s="209"/>
      <c r="M171" s="3"/>
      <c r="N171" s="211"/>
      <c r="O171" s="96"/>
      <c r="P171" s="15"/>
    </row>
    <row r="172" spans="1:16">
      <c r="A172" s="15"/>
      <c r="B172" s="151"/>
      <c r="C172" s="130"/>
      <c r="D172" s="130"/>
      <c r="E172" s="130"/>
      <c r="F172" s="152"/>
      <c r="G172" s="130"/>
      <c r="H172" s="163"/>
      <c r="I172" s="130"/>
      <c r="J172" s="132"/>
      <c r="K172" s="132"/>
      <c r="L172" s="130"/>
      <c r="M172" s="132"/>
      <c r="N172" s="130"/>
      <c r="O172" s="144"/>
      <c r="P172" s="15"/>
    </row>
    <row r="173" spans="1:16" ht="15.75">
      <c r="A173" s="15"/>
      <c r="B173" s="59" t="s">
        <v>268</v>
      </c>
      <c r="C173" s="60"/>
      <c r="D173" s="60"/>
      <c r="E173" s="60"/>
      <c r="F173" s="60"/>
      <c r="G173" s="60"/>
      <c r="H173" s="92"/>
      <c r="I173" s="60"/>
      <c r="J173" s="60"/>
      <c r="K173" s="60"/>
      <c r="L173" s="60"/>
      <c r="M173" s="60"/>
      <c r="N173" s="60"/>
      <c r="O173" s="61"/>
      <c r="P173" s="15"/>
    </row>
    <row r="174" spans="1:16" ht="19.5">
      <c r="A174" s="15"/>
      <c r="B174" s="156"/>
      <c r="C174" s="157"/>
      <c r="D174" s="157"/>
      <c r="E174" s="158"/>
      <c r="F174" s="159"/>
      <c r="G174" s="160"/>
      <c r="H174" s="161"/>
      <c r="I174" s="160"/>
      <c r="J174" s="147"/>
      <c r="K174" s="162"/>
      <c r="L174" s="160"/>
      <c r="M174" s="147"/>
      <c r="N174" s="160"/>
      <c r="O174" s="150"/>
      <c r="P174" s="3"/>
    </row>
    <row r="175" spans="1:16">
      <c r="A175" s="15"/>
      <c r="B175" s="95"/>
      <c r="C175" s="49" t="s">
        <v>377</v>
      </c>
      <c r="D175" s="50"/>
      <c r="E175" s="51"/>
      <c r="F175" s="67" t="s">
        <v>206</v>
      </c>
      <c r="G175" s="410" t="str">
        <f>G$22</f>
        <v>Amount</v>
      </c>
      <c r="H175" s="23"/>
      <c r="I175" s="28" t="str">
        <f>I$22</f>
        <v>Checks</v>
      </c>
      <c r="J175" s="3"/>
      <c r="K175" s="28" t="str">
        <f>K$22</f>
        <v>Remarks</v>
      </c>
      <c r="L175" s="28" t="s">
        <v>270</v>
      </c>
      <c r="M175" s="3"/>
      <c r="N175" s="28" t="str">
        <f>N$22</f>
        <v>Supervisor Comments</v>
      </c>
      <c r="O175" s="96"/>
      <c r="P175" s="3"/>
    </row>
    <row r="176" spans="1:16">
      <c r="A176" s="15"/>
      <c r="B176" s="97"/>
      <c r="C176" s="52" t="s">
        <v>405</v>
      </c>
      <c r="D176" s="53"/>
      <c r="E176" s="54"/>
      <c r="F176" s="171">
        <v>1111</v>
      </c>
      <c r="G176" s="184"/>
      <c r="H176" s="23" t="s">
        <v>271</v>
      </c>
      <c r="I176" s="45" t="str">
        <f>IF(ISBLANK(L176),"Comment required",IF(ISTEXT(G176),"No text please",IF(ISBLANK(G176),"Please enter a value",IF(AND(G176=0,ISERROR(FIND("zero",K176))),"Please confirm zero",IF(AND(G176&lt;&gt;0,K176="Confirmed zero"),"Value not zero",IF($G$179&gt;$G$176,"&lt; 16.d."," "))))))</f>
        <v>Comment required</v>
      </c>
      <c r="J176" s="3"/>
      <c r="K176" s="31"/>
      <c r="L176" s="210"/>
      <c r="M176" s="3"/>
      <c r="N176" s="211"/>
      <c r="O176" s="96"/>
      <c r="P176" s="15"/>
    </row>
    <row r="177" spans="1:16" ht="25.5">
      <c r="A177" s="15"/>
      <c r="B177" s="97"/>
      <c r="C177" s="52" t="s">
        <v>406</v>
      </c>
      <c r="D177" s="53"/>
      <c r="E177" s="54"/>
      <c r="F177" s="171">
        <v>1112</v>
      </c>
      <c r="G177" s="184"/>
      <c r="H177" s="23" t="s">
        <v>272</v>
      </c>
      <c r="I177" s="45" t="str">
        <f>IF(OR(ISBLANK(L177),L177="&lt;&lt;Does the total include insurance subsidiaries?&gt;&gt;"),"Comment required",IF(ISTEXT(G177),"No text please",IF(ISBLANK(G177),"Please enter a value",IF(AND(G177=0,ISERROR(FIND("zero",K177))),"Please confirm zero",IF(AND(G177&lt;&gt;0,K177="Confirmed zero"),"Value not zero"," ")))))</f>
        <v>Comment required</v>
      </c>
      <c r="J177" s="3"/>
      <c r="K177" s="31"/>
      <c r="L177" s="212" t="s">
        <v>426</v>
      </c>
      <c r="M177" s="3"/>
      <c r="N177" s="211"/>
      <c r="O177" s="96"/>
      <c r="P177" s="15"/>
    </row>
    <row r="178" spans="1:16">
      <c r="A178" s="15"/>
      <c r="B178" s="97"/>
      <c r="C178" s="52" t="s">
        <v>424</v>
      </c>
      <c r="D178" s="53"/>
      <c r="E178" s="54"/>
      <c r="F178" s="171">
        <v>1113</v>
      </c>
      <c r="G178" s="207"/>
      <c r="H178" s="23" t="s">
        <v>273</v>
      </c>
      <c r="I178" s="45" t="str">
        <f>IF(ISBLANK(L178),"Comment required",IF(ISTEXT(G178),"No text please",IF(ISBLANK(G178),"Please enter a value",IF(AND(G178=0,ISERROR(FIND("zero",K178))),"Please confirm zero",IF(AND(G178&lt;&gt;0,K178="Confirmed zero"),"Value not zero"," ")))))</f>
        <v>Comment required</v>
      </c>
      <c r="J178" s="3"/>
      <c r="K178" s="31"/>
      <c r="L178" s="210"/>
      <c r="M178" s="3"/>
      <c r="N178" s="211"/>
      <c r="O178" s="96"/>
      <c r="P178" s="15"/>
    </row>
    <row r="179" spans="1:16">
      <c r="A179" s="15"/>
      <c r="B179" s="97"/>
      <c r="C179" s="52" t="s">
        <v>425</v>
      </c>
      <c r="D179" s="53"/>
      <c r="E179" s="54"/>
      <c r="F179" s="171">
        <v>1114</v>
      </c>
      <c r="G179" s="184"/>
      <c r="H179" s="23" t="s">
        <v>274</v>
      </c>
      <c r="I179" s="45" t="str">
        <f>IF(OR(ISBLANK(L179),L179="&lt;&lt;What types of transactions were netted out?&gt;&gt;"),"Comment required",IF(ISTEXT(G179),"No text please",IF(ISBLANK(G179),"Please enter a value",IF(AND(G179=0,ISERROR(FIND("zero",K179))),"Please confirm zero",IF(AND(G179&lt;&gt;0,K179="Confirmed zero"),"Value not zero",IF($G$179&gt;$G$178,"&gt; 16.c."," "))))))</f>
        <v>Comment required</v>
      </c>
      <c r="J179" s="3"/>
      <c r="K179" s="31"/>
      <c r="L179" s="212" t="s">
        <v>427</v>
      </c>
      <c r="M179" s="3"/>
      <c r="N179" s="211"/>
      <c r="O179" s="96"/>
      <c r="P179" s="15"/>
    </row>
    <row r="180" spans="1:16">
      <c r="A180" s="15"/>
      <c r="B180" s="97"/>
      <c r="C180" s="52" t="s">
        <v>421</v>
      </c>
      <c r="D180" s="53"/>
      <c r="E180" s="54"/>
      <c r="F180" s="171">
        <v>1115</v>
      </c>
      <c r="G180" s="184"/>
      <c r="H180" s="23" t="s">
        <v>275</v>
      </c>
      <c r="I180" s="45" t="str">
        <f>IF(ISBLANK(L180),"Comment required",IF(ISTEXT(G180),"No text please",IF(ISBLANK(G180),"Please enter a value",IF(AND(G180=0,ISERROR(FIND("zero",K180))),"Please confirm zero",IF(AND(G180&lt;&gt;0,K180="Confirmed zero"),"Value not zero"," ")))))</f>
        <v>Comment required</v>
      </c>
      <c r="J180" s="3"/>
      <c r="K180" s="31"/>
      <c r="L180" s="210"/>
      <c r="M180" s="3"/>
      <c r="N180" s="211"/>
      <c r="O180" s="96"/>
      <c r="P180" s="15"/>
    </row>
    <row r="181" spans="1:16">
      <c r="A181" s="15"/>
      <c r="B181" s="97"/>
      <c r="C181" s="52" t="s">
        <v>422</v>
      </c>
      <c r="D181" s="53"/>
      <c r="E181" s="54"/>
      <c r="F181" s="171">
        <v>1116</v>
      </c>
      <c r="G181" s="184"/>
      <c r="H181" s="23" t="s">
        <v>423</v>
      </c>
      <c r="I181" s="45" t="str">
        <f>IF(OR(ISBLANK(L181),L181="&lt;&lt;What types of transactions were netted out?&gt;&gt;"),"Comment required",IF(ISTEXT(G181),"No text please",IF(ISBLANK(G181),"Please enter a value",IF(AND(G181=0,ISERROR(FIND("zero",K181))),"Please confirm zero",IF(AND(G181&lt;&gt;0,K181="Confirmed zero"),"Value not zero",IF($G$181&gt;$G$180,"&gt; 16.e."," "))))))</f>
        <v>Comment required</v>
      </c>
      <c r="J181" s="3"/>
      <c r="K181" s="31"/>
      <c r="L181" s="212" t="s">
        <v>427</v>
      </c>
      <c r="M181" s="3"/>
      <c r="N181" s="211"/>
      <c r="O181" s="96"/>
      <c r="P181" s="15"/>
    </row>
    <row r="182" spans="1:16">
      <c r="A182" s="15"/>
      <c r="B182" s="97"/>
      <c r="C182" s="52" t="s">
        <v>419</v>
      </c>
      <c r="D182" s="53"/>
      <c r="E182" s="54"/>
      <c r="F182" s="171">
        <v>1117</v>
      </c>
      <c r="G182" s="184"/>
      <c r="H182" s="23" t="s">
        <v>420</v>
      </c>
      <c r="I182" s="45" t="str">
        <f>IF(ISBLANK(L182),"Comment required",IF(ISTEXT(G182),"No text please",IF(ISBLANK(G182),"Please enter a value",IF(AND(G182=0,ISERROR(FIND("zero",K182))),"Please confirm zero",IF(AND(G182&lt;&gt;0,K182="Confirmed zero"),"Value not zero"," ")))))</f>
        <v>Comment required</v>
      </c>
      <c r="J182" s="3"/>
      <c r="K182" s="31"/>
      <c r="L182" s="210"/>
      <c r="M182" s="3"/>
      <c r="N182" s="211"/>
      <c r="O182" s="96"/>
      <c r="P182" s="15"/>
    </row>
    <row r="183" spans="1:16">
      <c r="A183" s="15"/>
      <c r="B183" s="97"/>
      <c r="C183" s="16"/>
      <c r="D183" s="16"/>
      <c r="E183" s="16"/>
      <c r="F183" s="30"/>
      <c r="G183" s="410"/>
      <c r="H183" s="23"/>
      <c r="I183" s="23"/>
      <c r="J183" s="3"/>
      <c r="K183" s="23"/>
      <c r="L183" s="23"/>
      <c r="M183" s="3"/>
      <c r="N183" s="23"/>
      <c r="O183" s="106"/>
      <c r="P183" s="15"/>
    </row>
    <row r="184" spans="1:16">
      <c r="A184" s="15"/>
      <c r="B184" s="97"/>
      <c r="C184" s="49" t="s">
        <v>378</v>
      </c>
      <c r="D184" s="50"/>
      <c r="E184" s="51"/>
      <c r="F184" s="67" t="s">
        <v>206</v>
      </c>
      <c r="G184" s="410" t="str">
        <f>G$22</f>
        <v>Amount</v>
      </c>
      <c r="H184" s="23"/>
      <c r="I184" s="28" t="str">
        <f>I$22</f>
        <v>Checks</v>
      </c>
      <c r="J184" s="3"/>
      <c r="K184" s="28" t="str">
        <f>K$22</f>
        <v>Remarks</v>
      </c>
      <c r="L184" s="28" t="str">
        <f>$L$175</f>
        <v>Comments Regarding Data Quality/Availability</v>
      </c>
      <c r="M184" s="3"/>
      <c r="N184" s="28" t="str">
        <f>N$22</f>
        <v>Supervisor Comments</v>
      </c>
      <c r="O184" s="96"/>
      <c r="P184" s="15"/>
    </row>
    <row r="185" spans="1:16">
      <c r="A185" s="15"/>
      <c r="B185" s="97"/>
      <c r="C185" s="52" t="s">
        <v>310</v>
      </c>
      <c r="D185" s="53"/>
      <c r="E185" s="54"/>
      <c r="F185" s="171">
        <v>1118</v>
      </c>
      <c r="G185" s="184"/>
      <c r="H185" s="23" t="s">
        <v>313</v>
      </c>
      <c r="I185" s="45" t="str">
        <f>IF(ISBLANK(L185),"Comment required",IF(ISTEXT(G185),"No text please",IF(ISBLANK(G185),"Please enter a value",IF(AND(G185=0,ISERROR(FIND("zero",K185))),"Please confirm zero",IF(AND(G185&lt;&gt;0,K185="Confirmed zero"),"Value not zero"," ")))))</f>
        <v>Comment required</v>
      </c>
      <c r="J185" s="3"/>
      <c r="K185" s="31"/>
      <c r="L185" s="210"/>
      <c r="M185" s="3"/>
      <c r="N185" s="211"/>
      <c r="O185" s="96"/>
      <c r="P185" s="15"/>
    </row>
    <row r="186" spans="1:16">
      <c r="A186" s="15"/>
      <c r="B186" s="97"/>
      <c r="C186" s="52" t="s">
        <v>311</v>
      </c>
      <c r="D186" s="53"/>
      <c r="E186" s="54"/>
      <c r="F186" s="171">
        <v>1119</v>
      </c>
      <c r="G186" s="184"/>
      <c r="H186" s="23" t="s">
        <v>314</v>
      </c>
      <c r="I186" s="45" t="str">
        <f>IF(ISBLANK(L186),"Comment required",IF(ISTEXT(G186),"No text please",IF(ISBLANK(G186),"Please enter a value",IF(AND(G186=0,ISERROR(FIND("zero",K186))),"Please confirm zero",IF(AND(G186&lt;&gt;0,K186="Confirmed zero"),"Value not zero"," ")))))</f>
        <v>Comment required</v>
      </c>
      <c r="J186" s="3"/>
      <c r="K186" s="31"/>
      <c r="L186" s="210"/>
      <c r="M186" s="3"/>
      <c r="N186" s="211"/>
      <c r="O186" s="96"/>
      <c r="P186" s="15"/>
    </row>
    <row r="187" spans="1:16">
      <c r="A187" s="15"/>
      <c r="B187" s="97"/>
      <c r="C187" s="52" t="s">
        <v>312</v>
      </c>
      <c r="D187" s="53"/>
      <c r="E187" s="54"/>
      <c r="F187" s="171">
        <v>1120</v>
      </c>
      <c r="G187" s="207"/>
      <c r="H187" s="23" t="s">
        <v>315</v>
      </c>
      <c r="I187" s="45" t="str">
        <f>IF(ISBLANK(L187),"Comment required",IF(ISTEXT(G187),"No text please",IF(ISBLANK(G187),"Please enter a value",IF(AND(G187=0,ISERROR(FIND("zero",K187))),"Please confirm zero",IF(AND(G187&lt;&gt;0,K187="Confirmed zero"),"Value not zero"," ")))))</f>
        <v>Comment required</v>
      </c>
      <c r="J187" s="3"/>
      <c r="K187" s="31"/>
      <c r="L187" s="210"/>
      <c r="M187" s="3"/>
      <c r="N187" s="211"/>
      <c r="O187" s="96"/>
      <c r="P187" s="15"/>
    </row>
    <row r="188" spans="1:16">
      <c r="A188" s="15"/>
      <c r="B188" s="97"/>
      <c r="C188" s="16"/>
      <c r="D188" s="16"/>
      <c r="E188" s="16"/>
      <c r="F188" s="30"/>
      <c r="G188" s="410"/>
      <c r="H188" s="23"/>
      <c r="I188" s="23"/>
      <c r="J188" s="3"/>
      <c r="K188" s="23"/>
      <c r="L188" s="23"/>
      <c r="M188" s="3"/>
      <c r="N188" s="23"/>
      <c r="O188" s="106"/>
      <c r="P188" s="15"/>
    </row>
    <row r="189" spans="1:16" ht="19.5" customHeight="1">
      <c r="A189" s="15"/>
      <c r="B189" s="103"/>
      <c r="C189" s="181" t="s">
        <v>379</v>
      </c>
      <c r="D189" s="415" t="s">
        <v>191</v>
      </c>
      <c r="E189" s="415" t="s">
        <v>514</v>
      </c>
      <c r="F189" s="410"/>
      <c r="G189" s="416" t="str">
        <f>G$22</f>
        <v>Amount</v>
      </c>
      <c r="H189" s="17"/>
      <c r="I189" s="11"/>
      <c r="J189" s="3"/>
      <c r="K189" s="2"/>
      <c r="L189" s="11"/>
      <c r="M189" s="3"/>
      <c r="N189" s="11"/>
      <c r="O189" s="96"/>
      <c r="P189" s="3"/>
    </row>
    <row r="190" spans="1:16" ht="15.75">
      <c r="A190" s="15"/>
      <c r="B190" s="103"/>
      <c r="C190" s="180" t="s">
        <v>416</v>
      </c>
      <c r="D190" s="415"/>
      <c r="E190" s="415"/>
      <c r="F190" s="48" t="s">
        <v>206</v>
      </c>
      <c r="G190" s="416"/>
      <c r="H190" s="23"/>
      <c r="I190" s="28" t="str">
        <f>I$22</f>
        <v>Checks</v>
      </c>
      <c r="J190" s="3"/>
      <c r="K190" s="28" t="str">
        <f>K$22</f>
        <v>Remarks</v>
      </c>
      <c r="L190" s="28" t="str">
        <f>$L$175</f>
        <v>Comments Regarding Data Quality/Availability</v>
      </c>
      <c r="M190" s="3"/>
      <c r="N190" s="28" t="str">
        <f>N$22</f>
        <v>Supervisor Comments</v>
      </c>
      <c r="O190" s="96"/>
      <c r="P190" s="3"/>
    </row>
    <row r="191" spans="1:16">
      <c r="A191" s="15"/>
      <c r="B191" s="97"/>
      <c r="C191" s="172" t="s">
        <v>209</v>
      </c>
      <c r="D191" s="177" t="s">
        <v>6</v>
      </c>
      <c r="E191" s="185"/>
      <c r="F191" s="171">
        <v>1121</v>
      </c>
      <c r="G191" s="174" t="str">
        <f t="shared" ref="G191:G205" si="2">IF(AND(ISNUMBER(E191),VLOOKUP(D191,$D$229:$I$243,COLUMNS($D$229:$I$243),FALSE)=" "),E191*VLOOKUP(D191,$D$229:$E$243,2,FALSE)," ")</f>
        <v xml:space="preserve"> </v>
      </c>
      <c r="H191" s="23" t="s">
        <v>316</v>
      </c>
      <c r="I191" s="45" t="str">
        <f t="shared" ref="I191:I205" si="3">IF(ISBLANK(L191),"Comment required",IF(ISTEXT(E191),"No text please",IF(E191&lt;0,"No negatives please",IF(ISBLANK(E191),"Please enter a value",IF(AND(E191=0,ISERROR(FIND("zero",K191))),"Please confirm zero",IF(AND(E191&lt;&gt;0,K191="Confirmed zero"),"Value not zero",IF(VLOOKUP(D191,$D$229:$I$243,6,FALSE)&lt;&gt;" ","See item "&amp;VLOOKUP(D191,$D$229:$I$243,6-1,FALSE)," ")))))))</f>
        <v>Comment required</v>
      </c>
      <c r="J191" s="3"/>
      <c r="K191" s="31"/>
      <c r="L191" s="210"/>
      <c r="M191" s="3"/>
      <c r="N191" s="211"/>
      <c r="O191" s="96"/>
      <c r="P191" s="15"/>
    </row>
    <row r="192" spans="1:16">
      <c r="A192" s="15"/>
      <c r="B192" s="97"/>
      <c r="C192" s="172" t="s">
        <v>210</v>
      </c>
      <c r="D192" s="177" t="s">
        <v>10</v>
      </c>
      <c r="E192" s="186"/>
      <c r="F192" s="171">
        <v>1122</v>
      </c>
      <c r="G192" s="174" t="str">
        <f t="shared" si="2"/>
        <v xml:space="preserve"> </v>
      </c>
      <c r="H192" s="23" t="s">
        <v>317</v>
      </c>
      <c r="I192" s="45" t="str">
        <f t="shared" si="3"/>
        <v>Comment required</v>
      </c>
      <c r="J192" s="3"/>
      <c r="K192" s="31"/>
      <c r="L192" s="210"/>
      <c r="M192" s="3"/>
      <c r="N192" s="211"/>
      <c r="O192" s="96"/>
      <c r="P192" s="15"/>
    </row>
    <row r="193" spans="1:16">
      <c r="A193" s="15"/>
      <c r="B193" s="97"/>
      <c r="C193" s="172" t="s">
        <v>211</v>
      </c>
      <c r="D193" s="177" t="s">
        <v>7</v>
      </c>
      <c r="E193" s="187"/>
      <c r="F193" s="171">
        <v>1123</v>
      </c>
      <c r="G193" s="174" t="str">
        <f t="shared" si="2"/>
        <v xml:space="preserve"> </v>
      </c>
      <c r="H193" s="23" t="s">
        <v>318</v>
      </c>
      <c r="I193" s="45" t="str">
        <f t="shared" si="3"/>
        <v>Comment required</v>
      </c>
      <c r="J193" s="3"/>
      <c r="K193" s="31"/>
      <c r="L193" s="210"/>
      <c r="M193" s="3"/>
      <c r="N193" s="211"/>
      <c r="O193" s="96"/>
      <c r="P193" s="15"/>
    </row>
    <row r="194" spans="1:16">
      <c r="A194" s="15"/>
      <c r="B194" s="97"/>
      <c r="C194" s="172" t="s">
        <v>212</v>
      </c>
      <c r="D194" s="177" t="s">
        <v>8</v>
      </c>
      <c r="E194" s="188"/>
      <c r="F194" s="171">
        <v>1124</v>
      </c>
      <c r="G194" s="174" t="str">
        <f t="shared" si="2"/>
        <v xml:space="preserve"> </v>
      </c>
      <c r="H194" s="23" t="s">
        <v>319</v>
      </c>
      <c r="I194" s="45" t="str">
        <f t="shared" si="3"/>
        <v>Comment required</v>
      </c>
      <c r="J194" s="3"/>
      <c r="K194" s="31"/>
      <c r="L194" s="210"/>
      <c r="M194" s="3"/>
      <c r="N194" s="211"/>
      <c r="O194" s="96"/>
      <c r="P194" s="15"/>
    </row>
    <row r="195" spans="1:16">
      <c r="A195" s="15"/>
      <c r="B195" s="97"/>
      <c r="C195" s="172" t="s">
        <v>213</v>
      </c>
      <c r="D195" s="177" t="s">
        <v>4</v>
      </c>
      <c r="E195" s="189"/>
      <c r="F195" s="171">
        <v>1125</v>
      </c>
      <c r="G195" s="174" t="str">
        <f t="shared" si="2"/>
        <v xml:space="preserve"> </v>
      </c>
      <c r="H195" s="23" t="s">
        <v>320</v>
      </c>
      <c r="I195" s="45" t="str">
        <f t="shared" si="3"/>
        <v>Comment required</v>
      </c>
      <c r="J195" s="3"/>
      <c r="K195" s="31"/>
      <c r="L195" s="210"/>
      <c r="M195" s="3"/>
      <c r="N195" s="211"/>
      <c r="O195" s="96"/>
      <c r="P195" s="15"/>
    </row>
    <row r="196" spans="1:16">
      <c r="A196" s="15"/>
      <c r="B196" s="97"/>
      <c r="C196" s="172" t="s">
        <v>214</v>
      </c>
      <c r="D196" s="177" t="s">
        <v>1</v>
      </c>
      <c r="E196" s="190"/>
      <c r="F196" s="171">
        <v>1126</v>
      </c>
      <c r="G196" s="174" t="str">
        <f t="shared" si="2"/>
        <v xml:space="preserve"> </v>
      </c>
      <c r="H196" s="23" t="s">
        <v>321</v>
      </c>
      <c r="I196" s="45" t="str">
        <f t="shared" si="3"/>
        <v>Comment required</v>
      </c>
      <c r="J196" s="3"/>
      <c r="K196" s="31"/>
      <c r="L196" s="210"/>
      <c r="M196" s="3"/>
      <c r="N196" s="211"/>
      <c r="O196" s="96"/>
      <c r="P196" s="15"/>
    </row>
    <row r="197" spans="1:16">
      <c r="A197" s="15"/>
      <c r="B197" s="97"/>
      <c r="C197" s="172" t="s">
        <v>215</v>
      </c>
      <c r="D197" s="177" t="s">
        <v>2</v>
      </c>
      <c r="E197" s="191"/>
      <c r="F197" s="171">
        <v>1127</v>
      </c>
      <c r="G197" s="174" t="str">
        <f t="shared" si="2"/>
        <v xml:space="preserve"> </v>
      </c>
      <c r="H197" s="23" t="s">
        <v>322</v>
      </c>
      <c r="I197" s="45" t="str">
        <f t="shared" si="3"/>
        <v>Comment required</v>
      </c>
      <c r="J197" s="3"/>
      <c r="K197" s="31"/>
      <c r="L197" s="210"/>
      <c r="M197" s="3"/>
      <c r="N197" s="211"/>
      <c r="O197" s="96"/>
      <c r="P197" s="15"/>
    </row>
    <row r="198" spans="1:16">
      <c r="A198" s="15"/>
      <c r="B198" s="97"/>
      <c r="C198" s="172" t="s">
        <v>216</v>
      </c>
      <c r="D198" s="177" t="s">
        <v>5</v>
      </c>
      <c r="E198" s="192"/>
      <c r="F198" s="171">
        <v>1128</v>
      </c>
      <c r="G198" s="174" t="str">
        <f t="shared" si="2"/>
        <v xml:space="preserve"> </v>
      </c>
      <c r="H198" s="23" t="s">
        <v>323</v>
      </c>
      <c r="I198" s="45" t="str">
        <f t="shared" si="3"/>
        <v>Comment required</v>
      </c>
      <c r="J198" s="3"/>
      <c r="K198" s="31"/>
      <c r="L198" s="210"/>
      <c r="M198" s="3"/>
      <c r="N198" s="211"/>
      <c r="O198" s="96"/>
      <c r="P198" s="15"/>
    </row>
    <row r="199" spans="1:16">
      <c r="A199" s="15"/>
      <c r="B199" s="97"/>
      <c r="C199" s="172" t="s">
        <v>217</v>
      </c>
      <c r="D199" s="177" t="s">
        <v>9</v>
      </c>
      <c r="E199" s="193"/>
      <c r="F199" s="171">
        <v>1129</v>
      </c>
      <c r="G199" s="174" t="str">
        <f t="shared" si="2"/>
        <v xml:space="preserve"> </v>
      </c>
      <c r="H199" s="23" t="s">
        <v>324</v>
      </c>
      <c r="I199" s="45" t="str">
        <f t="shared" si="3"/>
        <v>Comment required</v>
      </c>
      <c r="J199" s="3"/>
      <c r="K199" s="31"/>
      <c r="L199" s="210"/>
      <c r="M199" s="3"/>
      <c r="N199" s="211"/>
      <c r="O199" s="96"/>
      <c r="P199" s="15"/>
    </row>
    <row r="200" spans="1:16">
      <c r="A200" s="15"/>
      <c r="B200" s="97"/>
      <c r="C200" s="172" t="s">
        <v>218</v>
      </c>
      <c r="D200" s="177" t="s">
        <v>3</v>
      </c>
      <c r="E200" s="194"/>
      <c r="F200" s="171">
        <v>1130</v>
      </c>
      <c r="G200" s="174" t="str">
        <f t="shared" si="2"/>
        <v xml:space="preserve"> </v>
      </c>
      <c r="H200" s="23" t="s">
        <v>325</v>
      </c>
      <c r="I200" s="45" t="str">
        <f t="shared" si="3"/>
        <v>Comment required</v>
      </c>
      <c r="J200" s="3"/>
      <c r="K200" s="31"/>
      <c r="L200" s="210"/>
      <c r="M200" s="3"/>
      <c r="N200" s="211"/>
      <c r="O200" s="96"/>
      <c r="P200" s="15"/>
    </row>
    <row r="201" spans="1:16">
      <c r="A201" s="15"/>
      <c r="B201" s="97"/>
      <c r="C201" s="172" t="s">
        <v>219</v>
      </c>
      <c r="D201" s="177" t="s">
        <v>23</v>
      </c>
      <c r="E201" s="195"/>
      <c r="F201" s="171">
        <v>1131</v>
      </c>
      <c r="G201" s="174" t="str">
        <f t="shared" si="2"/>
        <v xml:space="preserve"> </v>
      </c>
      <c r="H201" s="23" t="s">
        <v>326</v>
      </c>
      <c r="I201" s="45" t="str">
        <f t="shared" si="3"/>
        <v>Comment required</v>
      </c>
      <c r="J201" s="3"/>
      <c r="K201" s="31"/>
      <c r="L201" s="210"/>
      <c r="M201" s="3"/>
      <c r="N201" s="211"/>
      <c r="O201" s="96"/>
      <c r="P201" s="15"/>
    </row>
    <row r="202" spans="1:16">
      <c r="A202" s="15"/>
      <c r="B202" s="97"/>
      <c r="C202" s="172" t="s">
        <v>220</v>
      </c>
      <c r="D202" s="177" t="s">
        <v>0</v>
      </c>
      <c r="E202" s="196"/>
      <c r="F202" s="171">
        <v>1132</v>
      </c>
      <c r="G202" s="174" t="str">
        <f t="shared" si="2"/>
        <v xml:space="preserve"> </v>
      </c>
      <c r="H202" s="23" t="s">
        <v>327</v>
      </c>
      <c r="I202" s="45" t="str">
        <f t="shared" si="3"/>
        <v>Comment required</v>
      </c>
      <c r="J202" s="3"/>
      <c r="K202" s="31"/>
      <c r="L202" s="210"/>
      <c r="M202" s="3"/>
      <c r="N202" s="211"/>
      <c r="O202" s="96"/>
      <c r="P202" s="15"/>
    </row>
    <row r="203" spans="1:16">
      <c r="A203" s="15"/>
      <c r="B203" s="97"/>
      <c r="C203" s="172" t="s">
        <v>221</v>
      </c>
      <c r="D203" s="177" t="s">
        <v>169</v>
      </c>
      <c r="E203" s="197"/>
      <c r="F203" s="171">
        <v>1133</v>
      </c>
      <c r="G203" s="174" t="str">
        <f t="shared" si="2"/>
        <v xml:space="preserve"> </v>
      </c>
      <c r="H203" s="23" t="s">
        <v>328</v>
      </c>
      <c r="I203" s="45" t="str">
        <f t="shared" si="3"/>
        <v>Comment required</v>
      </c>
      <c r="J203" s="3"/>
      <c r="K203" s="31"/>
      <c r="L203" s="210"/>
      <c r="M203" s="3"/>
      <c r="N203" s="211"/>
      <c r="O203" s="96"/>
      <c r="P203" s="15"/>
    </row>
    <row r="204" spans="1:16">
      <c r="A204" s="15"/>
      <c r="B204" s="97"/>
      <c r="C204" s="172" t="s">
        <v>222</v>
      </c>
      <c r="D204" s="177" t="s">
        <v>170</v>
      </c>
      <c r="E204" s="198"/>
      <c r="F204" s="171">
        <v>1134</v>
      </c>
      <c r="G204" s="174" t="str">
        <f t="shared" si="2"/>
        <v xml:space="preserve"> </v>
      </c>
      <c r="H204" s="23" t="s">
        <v>400</v>
      </c>
      <c r="I204" s="45" t="str">
        <f t="shared" si="3"/>
        <v>Comment required</v>
      </c>
      <c r="J204" s="3"/>
      <c r="K204" s="31"/>
      <c r="L204" s="210"/>
      <c r="M204" s="3"/>
      <c r="N204" s="211"/>
      <c r="O204" s="96"/>
      <c r="P204" s="15"/>
    </row>
    <row r="205" spans="1:16">
      <c r="A205" s="15"/>
      <c r="B205" s="97"/>
      <c r="C205" s="172" t="s">
        <v>223</v>
      </c>
      <c r="D205" s="177" t="s">
        <v>27</v>
      </c>
      <c r="E205" s="199"/>
      <c r="F205" s="171">
        <v>1135</v>
      </c>
      <c r="G205" s="174" t="str">
        <f t="shared" si="2"/>
        <v xml:space="preserve"> </v>
      </c>
      <c r="H205" s="23" t="s">
        <v>383</v>
      </c>
      <c r="I205" s="45" t="str">
        <f t="shared" si="3"/>
        <v>Comment required</v>
      </c>
      <c r="J205" s="3"/>
      <c r="K205" s="31"/>
      <c r="L205" s="210"/>
      <c r="M205" s="3"/>
      <c r="N205" s="211"/>
      <c r="O205" s="96"/>
      <c r="P205" s="15"/>
    </row>
    <row r="206" spans="1:16">
      <c r="A206" s="15"/>
      <c r="B206" s="97"/>
      <c r="C206" s="125" t="s">
        <v>330</v>
      </c>
      <c r="D206" s="53"/>
      <c r="E206" s="54"/>
      <c r="F206" s="171">
        <v>1136</v>
      </c>
      <c r="G206" s="184"/>
      <c r="H206" s="23" t="s">
        <v>329</v>
      </c>
      <c r="I206" s="45" t="str">
        <f t="shared" ref="I206:I215" si="4">IF(ISBLANK(L206),"Comment required",IF(ISTEXT(G206),"No text please",IF(ISBLANK(G206),"Please enter a value",IF(AND(G206=0,ISERROR(FIND("zero",K206))),"Please confirm zero",IF(AND(G206&lt;&gt;0,K206="Confirmed zero"),"Value not zero"," ")))))</f>
        <v>Comment required</v>
      </c>
      <c r="J206" s="3"/>
      <c r="K206" s="31"/>
      <c r="L206" s="210"/>
      <c r="M206" s="3"/>
      <c r="N206" s="211"/>
      <c r="O206" s="96"/>
      <c r="P206" s="15"/>
    </row>
    <row r="207" spans="1:16">
      <c r="A207" s="15"/>
      <c r="B207" s="97"/>
      <c r="C207" s="125" t="s">
        <v>331</v>
      </c>
      <c r="D207" s="53"/>
      <c r="E207" s="54"/>
      <c r="F207" s="171">
        <v>1137</v>
      </c>
      <c r="G207" s="184"/>
      <c r="H207" s="23" t="s">
        <v>335</v>
      </c>
      <c r="I207" s="45" t="str">
        <f t="shared" si="4"/>
        <v>Comment required</v>
      </c>
      <c r="J207" s="3"/>
      <c r="K207" s="31"/>
      <c r="L207" s="210"/>
      <c r="M207" s="3"/>
      <c r="N207" s="211"/>
      <c r="O207" s="96"/>
      <c r="P207" s="15"/>
    </row>
    <row r="208" spans="1:16">
      <c r="A208" s="15"/>
      <c r="B208" s="97"/>
      <c r="C208" s="125" t="s">
        <v>332</v>
      </c>
      <c r="D208" s="53"/>
      <c r="E208" s="54"/>
      <c r="F208" s="171">
        <v>1138</v>
      </c>
      <c r="G208" s="184"/>
      <c r="H208" s="23" t="s">
        <v>336</v>
      </c>
      <c r="I208" s="45" t="str">
        <f t="shared" si="4"/>
        <v>Comment required</v>
      </c>
      <c r="J208" s="3"/>
      <c r="K208" s="31"/>
      <c r="L208" s="210"/>
      <c r="M208" s="3"/>
      <c r="N208" s="211"/>
      <c r="O208" s="96"/>
      <c r="P208" s="15"/>
    </row>
    <row r="209" spans="1:16">
      <c r="A209" s="15"/>
      <c r="B209" s="97"/>
      <c r="C209" s="125" t="s">
        <v>333</v>
      </c>
      <c r="D209" s="53"/>
      <c r="E209" s="54"/>
      <c r="F209" s="171">
        <v>1139</v>
      </c>
      <c r="G209" s="184"/>
      <c r="H209" s="23" t="s">
        <v>337</v>
      </c>
      <c r="I209" s="45" t="str">
        <f t="shared" si="4"/>
        <v>Comment required</v>
      </c>
      <c r="J209" s="3"/>
      <c r="K209" s="31"/>
      <c r="L209" s="210"/>
      <c r="M209" s="3"/>
      <c r="N209" s="211"/>
      <c r="O209" s="96"/>
      <c r="P209" s="15"/>
    </row>
    <row r="210" spans="1:16">
      <c r="A210" s="15"/>
      <c r="B210" s="97"/>
      <c r="C210" s="125" t="s">
        <v>334</v>
      </c>
      <c r="D210" s="53"/>
      <c r="E210" s="54"/>
      <c r="F210" s="171">
        <v>1140</v>
      </c>
      <c r="G210" s="184"/>
      <c r="H210" s="23" t="s">
        <v>338</v>
      </c>
      <c r="I210" s="45" t="str">
        <f t="shared" si="4"/>
        <v>Comment required</v>
      </c>
      <c r="J210" s="3"/>
      <c r="K210" s="31"/>
      <c r="L210" s="210"/>
      <c r="M210" s="3"/>
      <c r="N210" s="211"/>
      <c r="O210" s="96"/>
      <c r="P210" s="15"/>
    </row>
    <row r="211" spans="1:16">
      <c r="A211" s="15"/>
      <c r="B211" s="97"/>
      <c r="C211" s="125" t="s">
        <v>389</v>
      </c>
      <c r="D211" s="53"/>
      <c r="E211" s="54"/>
      <c r="F211" s="171">
        <v>1141</v>
      </c>
      <c r="G211" s="184"/>
      <c r="H211" s="23" t="s">
        <v>339</v>
      </c>
      <c r="I211" s="45" t="str">
        <f t="shared" si="4"/>
        <v>Comment required</v>
      </c>
      <c r="J211" s="3"/>
      <c r="K211" s="31"/>
      <c r="L211" s="210"/>
      <c r="M211" s="3"/>
      <c r="N211" s="211"/>
      <c r="O211" s="96"/>
      <c r="P211" s="15"/>
    </row>
    <row r="212" spans="1:16">
      <c r="A212" s="15"/>
      <c r="B212" s="97"/>
      <c r="C212" s="125" t="s">
        <v>384</v>
      </c>
      <c r="D212" s="53"/>
      <c r="E212" s="54"/>
      <c r="F212" s="171">
        <v>1142</v>
      </c>
      <c r="G212" s="184"/>
      <c r="H212" s="23" t="s">
        <v>340</v>
      </c>
      <c r="I212" s="45" t="str">
        <f t="shared" si="4"/>
        <v>Comment required</v>
      </c>
      <c r="J212" s="3"/>
      <c r="K212" s="31"/>
      <c r="L212" s="210"/>
      <c r="M212" s="3"/>
      <c r="N212" s="211"/>
      <c r="O212" s="96"/>
      <c r="P212" s="15"/>
    </row>
    <row r="213" spans="1:16">
      <c r="A213" s="15"/>
      <c r="B213" s="97"/>
      <c r="C213" s="125" t="s">
        <v>385</v>
      </c>
      <c r="D213" s="53"/>
      <c r="E213" s="54"/>
      <c r="F213" s="171">
        <v>1143</v>
      </c>
      <c r="G213" s="184"/>
      <c r="H213" s="23" t="s">
        <v>341</v>
      </c>
      <c r="I213" s="45" t="str">
        <f t="shared" si="4"/>
        <v>Comment required</v>
      </c>
      <c r="J213" s="3"/>
      <c r="K213" s="31"/>
      <c r="L213" s="210"/>
      <c r="M213" s="3"/>
      <c r="N213" s="211"/>
      <c r="O213" s="96"/>
      <c r="P213" s="15"/>
    </row>
    <row r="214" spans="1:16">
      <c r="A214" s="15"/>
      <c r="B214" s="97"/>
      <c r="C214" s="125" t="s">
        <v>386</v>
      </c>
      <c r="D214" s="53"/>
      <c r="E214" s="54"/>
      <c r="F214" s="171">
        <v>1144</v>
      </c>
      <c r="G214" s="184"/>
      <c r="H214" s="23" t="s">
        <v>276</v>
      </c>
      <c r="I214" s="45" t="str">
        <f t="shared" si="4"/>
        <v>Comment required</v>
      </c>
      <c r="J214" s="3"/>
      <c r="K214" s="31"/>
      <c r="L214" s="210"/>
      <c r="M214" s="3"/>
      <c r="N214" s="211"/>
      <c r="O214" s="96"/>
      <c r="P214" s="15"/>
    </row>
    <row r="215" spans="1:16">
      <c r="A215" s="15"/>
      <c r="B215" s="97"/>
      <c r="C215" s="125" t="s">
        <v>387</v>
      </c>
      <c r="D215" s="53"/>
      <c r="E215" s="54"/>
      <c r="F215" s="171">
        <v>1145</v>
      </c>
      <c r="G215" s="184"/>
      <c r="H215" s="23" t="s">
        <v>277</v>
      </c>
      <c r="I215" s="45" t="str">
        <f t="shared" si="4"/>
        <v>Comment required</v>
      </c>
      <c r="J215" s="3"/>
      <c r="K215" s="31"/>
      <c r="L215" s="210"/>
      <c r="M215" s="3"/>
      <c r="N215" s="211"/>
      <c r="O215" s="96"/>
      <c r="P215" s="15"/>
    </row>
    <row r="216" spans="1:16">
      <c r="A216" s="15"/>
      <c r="B216" s="97"/>
      <c r="C216" s="16"/>
      <c r="D216" s="16"/>
      <c r="E216" s="16"/>
      <c r="F216" s="30"/>
      <c r="G216" s="410"/>
      <c r="H216" s="23"/>
      <c r="I216" s="23"/>
      <c r="J216" s="3"/>
      <c r="K216" s="23"/>
      <c r="L216" s="23"/>
      <c r="M216" s="3"/>
      <c r="N216" s="23"/>
      <c r="O216" s="106"/>
      <c r="P216" s="15"/>
    </row>
    <row r="217" spans="1:16">
      <c r="A217" s="15"/>
      <c r="B217" s="97"/>
      <c r="C217" s="49" t="s">
        <v>380</v>
      </c>
      <c r="D217" s="50"/>
      <c r="E217" s="51"/>
      <c r="F217" s="67" t="s">
        <v>206</v>
      </c>
      <c r="G217" s="410" t="str">
        <f>G$22</f>
        <v>Amount</v>
      </c>
      <c r="H217" s="23"/>
      <c r="I217" s="28" t="str">
        <f>I$22</f>
        <v>Checks</v>
      </c>
      <c r="J217" s="3"/>
      <c r="K217" s="28" t="str">
        <f>K$22</f>
        <v>Remarks</v>
      </c>
      <c r="L217" s="28" t="str">
        <f>$L$175</f>
        <v>Comments Regarding Data Quality/Availability</v>
      </c>
      <c r="M217" s="3"/>
      <c r="N217" s="28" t="str">
        <f>N$22</f>
        <v>Supervisor Comments</v>
      </c>
      <c r="O217" s="96"/>
      <c r="P217" s="15"/>
    </row>
    <row r="218" spans="1:16">
      <c r="A218" s="15"/>
      <c r="B218" s="97"/>
      <c r="C218" s="52" t="s">
        <v>342</v>
      </c>
      <c r="D218" s="53"/>
      <c r="E218" s="54"/>
      <c r="F218" s="171">
        <v>1146</v>
      </c>
      <c r="G218" s="184"/>
      <c r="H218" s="23" t="s">
        <v>347</v>
      </c>
      <c r="I218" s="45" t="str">
        <f>IF(ISBLANK(L218),"Comment required",IF(ISTEXT(G218),"No text please",IF(ISBLANK(G218),"Please enter a value",IF(AND(G218=0,ISERROR(FIND("zero",K218))),"Please confirm zero",IF(AND(G218&lt;&gt;0,K218="Confirmed zero"),"Value not zero"," ")))))</f>
        <v>Comment required</v>
      </c>
      <c r="J218" s="3"/>
      <c r="K218" s="31"/>
      <c r="L218" s="210"/>
      <c r="M218" s="3"/>
      <c r="N218" s="211"/>
      <c r="O218" s="96"/>
      <c r="P218" s="15"/>
    </row>
    <row r="219" spans="1:16">
      <c r="A219" s="15"/>
      <c r="B219" s="97"/>
      <c r="C219" s="52" t="s">
        <v>343</v>
      </c>
      <c r="D219" s="53"/>
      <c r="E219" s="54"/>
      <c r="F219" s="171">
        <v>1147</v>
      </c>
      <c r="G219" s="184"/>
      <c r="H219" s="23" t="s">
        <v>348</v>
      </c>
      <c r="I219" s="45" t="str">
        <f>IF(ISBLANK(L219),"Comment required",IF(ISTEXT(G219),"No text please",IF(ISBLANK(G219),"Please enter a value",IF(AND(G219=0,ISERROR(FIND("zero",K219))),"Please confirm zero",IF(AND(G219&lt;&gt;0,K219="Confirmed zero"),"Value not zero"," ")))))</f>
        <v>Comment required</v>
      </c>
      <c r="J219" s="3"/>
      <c r="K219" s="31"/>
      <c r="L219" s="210"/>
      <c r="M219" s="3"/>
      <c r="N219" s="211"/>
      <c r="O219" s="96"/>
      <c r="P219" s="15"/>
    </row>
    <row r="220" spans="1:16">
      <c r="A220" s="15"/>
      <c r="B220" s="97"/>
      <c r="C220" s="52" t="s">
        <v>344</v>
      </c>
      <c r="D220" s="53"/>
      <c r="E220" s="54"/>
      <c r="F220" s="171">
        <v>1148</v>
      </c>
      <c r="G220" s="184"/>
      <c r="H220" s="23" t="s">
        <v>349</v>
      </c>
      <c r="I220" s="45" t="str">
        <f>IF(ISBLANK(L220),"Comment required",IF(ISTEXT(G220),"No text please",IF(ISBLANK(G220),"Please enter a value",IF(AND(G220=0,ISERROR(FIND("zero",K220))),"Please confirm zero",IF(AND(G220&lt;&gt;0,K220="Confirmed zero"),"Value not zero",IF($G$220&lt;SUM($G$221:$G$222),"&lt; 19.d. + 19.e."," "))))))</f>
        <v>Comment required</v>
      </c>
      <c r="J220" s="3"/>
      <c r="K220" s="31"/>
      <c r="L220" s="210"/>
      <c r="M220" s="3"/>
      <c r="N220" s="211"/>
      <c r="O220" s="96"/>
      <c r="P220" s="15"/>
    </row>
    <row r="221" spans="1:16">
      <c r="A221" s="15"/>
      <c r="B221" s="97"/>
      <c r="C221" s="52" t="s">
        <v>345</v>
      </c>
      <c r="D221" s="53"/>
      <c r="E221" s="54"/>
      <c r="F221" s="171">
        <v>1149</v>
      </c>
      <c r="G221" s="184"/>
      <c r="H221" s="23" t="s">
        <v>350</v>
      </c>
      <c r="I221" s="45" t="str">
        <f>IF(ISBLANK(L221),"Comment required",IF(ISTEXT(G221),"No text please",IF(ISBLANK(G221),"Please enter a value",IF(AND(G221=0,ISERROR(FIND("zero",K221))),"Please confirm zero",IF(AND(G221&lt;&gt;0,K221="Confirmed zero"),"Value not zero",IF($G$220&lt;$G$221,"&gt; 19.c."," "))))))</f>
        <v>Comment required</v>
      </c>
      <c r="J221" s="3"/>
      <c r="K221" s="31"/>
      <c r="L221" s="210"/>
      <c r="M221" s="3"/>
      <c r="N221" s="211"/>
      <c r="O221" s="96"/>
      <c r="P221" s="15"/>
    </row>
    <row r="222" spans="1:16">
      <c r="A222" s="15"/>
      <c r="B222" s="97"/>
      <c r="C222" s="52" t="s">
        <v>346</v>
      </c>
      <c r="D222" s="53"/>
      <c r="E222" s="54"/>
      <c r="F222" s="171">
        <v>1150</v>
      </c>
      <c r="G222" s="184"/>
      <c r="H222" s="23" t="s">
        <v>351</v>
      </c>
      <c r="I222" s="45" t="str">
        <f>IF(ISBLANK(L222),"Comment required",IF(ISTEXT(G222),"No text please",IF(ISBLANK(G222),"Please enter a value",IF(AND(G222=0,ISERROR(FIND("zero",K222))),"Please confirm zero",IF(AND(G222&lt;&gt;0,K222="Confirmed zero"),"Value not zero",IF($G$220&lt;$G$222,"&gt; 19.c."," "))))))</f>
        <v>Comment required</v>
      </c>
      <c r="J222" s="3"/>
      <c r="K222" s="31"/>
      <c r="L222" s="210"/>
      <c r="M222" s="3"/>
      <c r="N222" s="211"/>
      <c r="O222" s="96"/>
      <c r="P222" s="15"/>
    </row>
    <row r="223" spans="1:16">
      <c r="A223" s="15"/>
      <c r="B223" s="97"/>
      <c r="C223" s="16"/>
      <c r="D223" s="16"/>
      <c r="E223" s="16"/>
      <c r="F223" s="30"/>
      <c r="G223" s="410"/>
      <c r="H223" s="23"/>
      <c r="I223" s="23"/>
      <c r="J223" s="3"/>
      <c r="K223" s="23"/>
      <c r="L223" s="23"/>
      <c r="M223" s="3"/>
      <c r="N223" s="23"/>
      <c r="O223" s="106"/>
      <c r="P223" s="15"/>
    </row>
    <row r="224" spans="1:16">
      <c r="A224" s="15"/>
      <c r="B224" s="151"/>
      <c r="C224" s="130"/>
      <c r="D224" s="130"/>
      <c r="E224" s="130"/>
      <c r="F224" s="152"/>
      <c r="G224" s="130"/>
      <c r="H224" s="163"/>
      <c r="I224" s="130"/>
      <c r="J224" s="132"/>
      <c r="K224" s="132"/>
      <c r="L224" s="130"/>
      <c r="M224" s="132"/>
      <c r="N224" s="130"/>
      <c r="O224" s="144"/>
      <c r="P224" s="15"/>
    </row>
    <row r="225" spans="1:16" ht="15.75">
      <c r="A225" s="202"/>
      <c r="B225" s="59" t="s">
        <v>679</v>
      </c>
      <c r="C225" s="60"/>
      <c r="D225" s="60"/>
      <c r="E225" s="60"/>
      <c r="F225" s="60"/>
      <c r="G225" s="60"/>
      <c r="H225" s="92"/>
      <c r="I225" s="60"/>
      <c r="J225" s="60"/>
      <c r="K225" s="60"/>
      <c r="L225" s="60"/>
      <c r="M225" s="60"/>
      <c r="N225" s="60"/>
      <c r="O225" s="61"/>
      <c r="P225" s="202"/>
    </row>
    <row r="226" spans="1:16" ht="26.25">
      <c r="A226" s="202"/>
      <c r="B226" s="164"/>
      <c r="C226" s="165"/>
      <c r="D226" s="165"/>
      <c r="E226" s="166"/>
      <c r="F226" s="166"/>
      <c r="G226" s="167"/>
      <c r="H226" s="168"/>
      <c r="I226" s="167"/>
      <c r="J226" s="167"/>
      <c r="K226" s="167"/>
      <c r="L226" s="167"/>
      <c r="M226" s="167"/>
      <c r="N226" s="167"/>
      <c r="O226" s="169"/>
      <c r="P226" s="202"/>
    </row>
    <row r="227" spans="1:16">
      <c r="A227" s="202"/>
      <c r="B227" s="107"/>
      <c r="C227" s="4"/>
      <c r="D227" s="4"/>
      <c r="E227" s="410" t="str">
        <f>IF($G$10="&lt;select&gt;"," ","Conversion to "&amp;$G$10)</f>
        <v xml:space="preserve"> </v>
      </c>
      <c r="F227" s="410"/>
      <c r="G227" s="1"/>
      <c r="H227" s="93"/>
      <c r="I227" s="28"/>
      <c r="J227" s="1"/>
      <c r="K227" s="1"/>
      <c r="L227" s="1"/>
      <c r="M227" s="1"/>
      <c r="N227" s="28"/>
      <c r="O227" s="108"/>
      <c r="P227" s="202"/>
    </row>
    <row r="228" spans="1:16">
      <c r="A228" s="202"/>
      <c r="B228" s="107"/>
      <c r="C228" s="71" t="s">
        <v>381</v>
      </c>
      <c r="D228" s="72"/>
      <c r="E228" s="410" t="str">
        <f>IF($G$10="&lt;select&gt;","Conversion rate","(number of "&amp;$G$10&amp;" per unit)")</f>
        <v>Conversion rate</v>
      </c>
      <c r="F228" s="48" t="s">
        <v>206</v>
      </c>
      <c r="G228" s="1"/>
      <c r="H228" s="93"/>
      <c r="I228" s="28" t="str">
        <f>I$22</f>
        <v>Checks</v>
      </c>
      <c r="J228" s="1"/>
      <c r="K228" s="1"/>
      <c r="L228" s="1"/>
      <c r="M228" s="1"/>
      <c r="N228" s="28" t="str">
        <f>N$22</f>
        <v>Supervisor Comments</v>
      </c>
      <c r="O228" s="108"/>
      <c r="P228" s="202"/>
    </row>
    <row r="229" spans="1:16">
      <c r="A229" s="15"/>
      <c r="B229" s="109"/>
      <c r="C229" s="114" t="s">
        <v>178</v>
      </c>
      <c r="D229" s="127" t="s">
        <v>6</v>
      </c>
      <c r="E229" s="204"/>
      <c r="F229" s="171">
        <v>1151</v>
      </c>
      <c r="G229" s="1"/>
      <c r="H229" s="23" t="s">
        <v>278</v>
      </c>
      <c r="I229" s="45" t="str">
        <f>IF(ISTEXT(E229),"No text please",IF(NOT(ISNUMBER(E229)),"Please enter a rate",IF(E229&lt;0,"No negatives please",IF(E229=0,"No zeros please"," "))))</f>
        <v>Please enter a rate</v>
      </c>
      <c r="J229" s="3"/>
      <c r="K229" s="3"/>
      <c r="L229" s="3"/>
      <c r="M229" s="3"/>
      <c r="N229" s="211"/>
      <c r="O229" s="96"/>
      <c r="P229" s="15"/>
    </row>
    <row r="230" spans="1:16">
      <c r="A230" s="15"/>
      <c r="B230" s="109"/>
      <c r="C230" s="114" t="s">
        <v>179</v>
      </c>
      <c r="D230" s="128" t="s">
        <v>10</v>
      </c>
      <c r="E230" s="204"/>
      <c r="F230" s="171">
        <v>1152</v>
      </c>
      <c r="G230" s="1"/>
      <c r="H230" s="23" t="s">
        <v>279</v>
      </c>
      <c r="I230" s="45" t="str">
        <f t="shared" ref="I230:I243" si="5">IF(ISTEXT(E230),"No text please",IF(NOT(ISNUMBER(E230)),"Please enter a rate",IF(E230&lt;0,"No negatives please",IF(E230=0,"No zeros please"," "))))</f>
        <v>Please enter a rate</v>
      </c>
      <c r="J230" s="3"/>
      <c r="K230" s="3"/>
      <c r="L230" s="3"/>
      <c r="M230" s="3"/>
      <c r="N230" s="211"/>
      <c r="O230" s="96"/>
      <c r="P230" s="15"/>
    </row>
    <row r="231" spans="1:16">
      <c r="A231" s="15"/>
      <c r="B231" s="109"/>
      <c r="C231" s="114" t="s">
        <v>180</v>
      </c>
      <c r="D231" s="128" t="s">
        <v>7</v>
      </c>
      <c r="E231" s="205"/>
      <c r="F231" s="171">
        <v>1153</v>
      </c>
      <c r="G231" s="1"/>
      <c r="H231" s="23" t="s">
        <v>280</v>
      </c>
      <c r="I231" s="45" t="str">
        <f t="shared" si="5"/>
        <v>Please enter a rate</v>
      </c>
      <c r="J231" s="3"/>
      <c r="K231" s="3"/>
      <c r="L231" s="3"/>
      <c r="M231" s="3"/>
      <c r="N231" s="211"/>
      <c r="O231" s="96"/>
      <c r="P231" s="15"/>
    </row>
    <row r="232" spans="1:16">
      <c r="A232" s="15"/>
      <c r="B232" s="109"/>
      <c r="C232" s="114" t="s">
        <v>181</v>
      </c>
      <c r="D232" s="128" t="s">
        <v>8</v>
      </c>
      <c r="E232" s="204"/>
      <c r="F232" s="171">
        <v>1154</v>
      </c>
      <c r="G232" s="1"/>
      <c r="H232" s="23" t="s">
        <v>281</v>
      </c>
      <c r="I232" s="45" t="str">
        <f t="shared" si="5"/>
        <v>Please enter a rate</v>
      </c>
      <c r="J232" s="3"/>
      <c r="K232" s="3"/>
      <c r="L232" s="3"/>
      <c r="M232" s="3"/>
      <c r="N232" s="211"/>
      <c r="O232" s="96"/>
      <c r="P232" s="15"/>
    </row>
    <row r="233" spans="1:16">
      <c r="A233" s="15"/>
      <c r="B233" s="109"/>
      <c r="C233" s="114" t="s">
        <v>182</v>
      </c>
      <c r="D233" s="128" t="s">
        <v>4</v>
      </c>
      <c r="E233" s="205"/>
      <c r="F233" s="171">
        <v>1155</v>
      </c>
      <c r="G233" s="1"/>
      <c r="H233" s="23" t="s">
        <v>282</v>
      </c>
      <c r="I233" s="45" t="str">
        <f t="shared" si="5"/>
        <v>Please enter a rate</v>
      </c>
      <c r="J233" s="3"/>
      <c r="K233" s="3"/>
      <c r="L233" s="3"/>
      <c r="M233" s="3"/>
      <c r="N233" s="211"/>
      <c r="O233" s="96"/>
      <c r="P233" s="15"/>
    </row>
    <row r="234" spans="1:16">
      <c r="A234" s="15"/>
      <c r="B234" s="109"/>
      <c r="C234" s="114" t="s">
        <v>183</v>
      </c>
      <c r="D234" s="128" t="s">
        <v>1</v>
      </c>
      <c r="E234" s="205"/>
      <c r="F234" s="171">
        <v>1156</v>
      </c>
      <c r="G234" s="1"/>
      <c r="H234" s="23" t="s">
        <v>283</v>
      </c>
      <c r="I234" s="45" t="str">
        <f t="shared" si="5"/>
        <v>Please enter a rate</v>
      </c>
      <c r="J234" s="3"/>
      <c r="K234" s="3"/>
      <c r="L234" s="3"/>
      <c r="M234" s="3"/>
      <c r="N234" s="211"/>
      <c r="O234" s="96"/>
      <c r="P234" s="15"/>
    </row>
    <row r="235" spans="1:16">
      <c r="A235" s="15"/>
      <c r="B235" s="109"/>
      <c r="C235" s="114" t="s">
        <v>184</v>
      </c>
      <c r="D235" s="128" t="s">
        <v>2</v>
      </c>
      <c r="E235" s="205"/>
      <c r="F235" s="171">
        <v>1157</v>
      </c>
      <c r="G235" s="1"/>
      <c r="H235" s="23" t="s">
        <v>284</v>
      </c>
      <c r="I235" s="45" t="str">
        <f t="shared" si="5"/>
        <v>Please enter a rate</v>
      </c>
      <c r="J235" s="3"/>
      <c r="K235" s="3"/>
      <c r="L235" s="3"/>
      <c r="M235" s="3"/>
      <c r="N235" s="211"/>
      <c r="O235" s="96"/>
      <c r="P235" s="15"/>
    </row>
    <row r="236" spans="1:16">
      <c r="A236" s="15"/>
      <c r="B236" s="109"/>
      <c r="C236" s="114" t="s">
        <v>185</v>
      </c>
      <c r="D236" s="128" t="s">
        <v>5</v>
      </c>
      <c r="E236" s="205"/>
      <c r="F236" s="171">
        <v>1158</v>
      </c>
      <c r="G236" s="1"/>
      <c r="H236" s="23" t="s">
        <v>285</v>
      </c>
      <c r="I236" s="45" t="str">
        <f t="shared" si="5"/>
        <v>Please enter a rate</v>
      </c>
      <c r="J236" s="3"/>
      <c r="K236" s="3"/>
      <c r="L236" s="3"/>
      <c r="M236" s="3"/>
      <c r="N236" s="211"/>
      <c r="O236" s="96"/>
      <c r="P236" s="15"/>
    </row>
    <row r="237" spans="1:16">
      <c r="A237" s="15"/>
      <c r="B237" s="109"/>
      <c r="C237" s="114" t="s">
        <v>186</v>
      </c>
      <c r="D237" s="128" t="s">
        <v>9</v>
      </c>
      <c r="E237" s="205"/>
      <c r="F237" s="171">
        <v>1159</v>
      </c>
      <c r="G237" s="1"/>
      <c r="H237" s="23" t="s">
        <v>286</v>
      </c>
      <c r="I237" s="45" t="str">
        <f t="shared" si="5"/>
        <v>Please enter a rate</v>
      </c>
      <c r="J237" s="3"/>
      <c r="K237" s="3"/>
      <c r="L237" s="3"/>
      <c r="M237" s="3"/>
      <c r="N237" s="211"/>
      <c r="O237" s="96"/>
      <c r="P237" s="15"/>
    </row>
    <row r="238" spans="1:16">
      <c r="A238" s="15"/>
      <c r="B238" s="109"/>
      <c r="C238" s="114" t="s">
        <v>187</v>
      </c>
      <c r="D238" s="128" t="s">
        <v>3</v>
      </c>
      <c r="E238" s="205"/>
      <c r="F238" s="171">
        <v>1160</v>
      </c>
      <c r="G238" s="1"/>
      <c r="H238" s="23" t="s">
        <v>287</v>
      </c>
      <c r="I238" s="45" t="str">
        <f t="shared" si="5"/>
        <v>Please enter a rate</v>
      </c>
      <c r="J238" s="3"/>
      <c r="K238" s="3"/>
      <c r="L238" s="3"/>
      <c r="M238" s="3"/>
      <c r="N238" s="211"/>
      <c r="O238" s="96"/>
      <c r="P238" s="15"/>
    </row>
    <row r="239" spans="1:16">
      <c r="A239" s="15"/>
      <c r="B239" s="109"/>
      <c r="C239" s="114" t="s">
        <v>194</v>
      </c>
      <c r="D239" s="128" t="s">
        <v>169</v>
      </c>
      <c r="E239" s="206"/>
      <c r="F239" s="171">
        <v>1161</v>
      </c>
      <c r="G239" s="1"/>
      <c r="H239" s="23" t="s">
        <v>288</v>
      </c>
      <c r="I239" s="45" t="str">
        <f t="shared" si="5"/>
        <v>Please enter a rate</v>
      </c>
      <c r="J239" s="3"/>
      <c r="K239" s="3"/>
      <c r="L239" s="3"/>
      <c r="M239" s="3"/>
      <c r="N239" s="211"/>
      <c r="O239" s="96"/>
      <c r="P239" s="15"/>
    </row>
    <row r="240" spans="1:16">
      <c r="A240" s="15"/>
      <c r="B240" s="109"/>
      <c r="C240" s="114" t="s">
        <v>195</v>
      </c>
      <c r="D240" s="128" t="s">
        <v>170</v>
      </c>
      <c r="E240" s="205"/>
      <c r="F240" s="171">
        <v>1162</v>
      </c>
      <c r="G240" s="1"/>
      <c r="H240" s="23" t="s">
        <v>289</v>
      </c>
      <c r="I240" s="45" t="str">
        <f t="shared" si="5"/>
        <v>Please enter a rate</v>
      </c>
      <c r="J240" s="3"/>
      <c r="K240" s="3"/>
      <c r="L240" s="3"/>
      <c r="M240" s="3"/>
      <c r="N240" s="211"/>
      <c r="O240" s="96"/>
      <c r="P240" s="15"/>
    </row>
    <row r="241" spans="1:16">
      <c r="A241" s="15"/>
      <c r="B241" s="109"/>
      <c r="C241" s="114" t="s">
        <v>196</v>
      </c>
      <c r="D241" s="128" t="s">
        <v>27</v>
      </c>
      <c r="E241" s="205"/>
      <c r="F241" s="171">
        <v>1163</v>
      </c>
      <c r="G241" s="1"/>
      <c r="H241" s="23" t="s">
        <v>290</v>
      </c>
      <c r="I241" s="45" t="str">
        <f t="shared" si="5"/>
        <v>Please enter a rate</v>
      </c>
      <c r="J241" s="3"/>
      <c r="K241" s="3"/>
      <c r="L241" s="3"/>
      <c r="M241" s="3"/>
      <c r="N241" s="211"/>
      <c r="O241" s="96"/>
      <c r="P241" s="15"/>
    </row>
    <row r="242" spans="1:16">
      <c r="A242" s="15"/>
      <c r="B242" s="109"/>
      <c r="C242" s="114" t="s">
        <v>197</v>
      </c>
      <c r="D242" s="128" t="s">
        <v>23</v>
      </c>
      <c r="E242" s="205"/>
      <c r="F242" s="171">
        <v>1164</v>
      </c>
      <c r="G242" s="1"/>
      <c r="H242" s="23" t="s">
        <v>291</v>
      </c>
      <c r="I242" s="45" t="str">
        <f t="shared" si="5"/>
        <v>Please enter a rate</v>
      </c>
      <c r="J242" s="3"/>
      <c r="K242" s="3"/>
      <c r="L242" s="3"/>
      <c r="M242" s="3"/>
      <c r="N242" s="211"/>
      <c r="O242" s="96"/>
      <c r="P242" s="15"/>
    </row>
    <row r="243" spans="1:16">
      <c r="A243" s="15"/>
      <c r="B243" s="109"/>
      <c r="C243" s="114" t="s">
        <v>198</v>
      </c>
      <c r="D243" s="128" t="s">
        <v>0</v>
      </c>
      <c r="E243" s="205"/>
      <c r="F243" s="171">
        <v>1165</v>
      </c>
      <c r="G243" s="1"/>
      <c r="H243" s="23" t="s">
        <v>292</v>
      </c>
      <c r="I243" s="45" t="str">
        <f t="shared" si="5"/>
        <v>Please enter a rate</v>
      </c>
      <c r="J243" s="3"/>
      <c r="K243" s="3"/>
      <c r="L243" s="3"/>
      <c r="M243" s="3"/>
      <c r="N243" s="211"/>
      <c r="O243" s="96"/>
      <c r="P243" s="15"/>
    </row>
    <row r="244" spans="1:16">
      <c r="A244" s="202"/>
      <c r="B244" s="110"/>
      <c r="C244" s="111"/>
      <c r="D244" s="111"/>
      <c r="E244" s="111"/>
      <c r="F244" s="170"/>
      <c r="G244" s="111"/>
      <c r="H244" s="112"/>
      <c r="I244" s="111"/>
      <c r="J244" s="111"/>
      <c r="K244" s="111"/>
      <c r="L244" s="111"/>
      <c r="M244" s="111"/>
      <c r="N244" s="111"/>
      <c r="O244" s="113"/>
      <c r="P244" s="202"/>
    </row>
    <row r="245" spans="1:16" ht="15.75">
      <c r="A245" s="202"/>
      <c r="B245" s="59" t="s">
        <v>168</v>
      </c>
      <c r="C245" s="60"/>
      <c r="D245" s="60"/>
      <c r="E245" s="60"/>
      <c r="F245" s="60"/>
      <c r="G245" s="60"/>
      <c r="H245" s="92"/>
      <c r="I245" s="60"/>
      <c r="J245" s="60"/>
      <c r="K245" s="60"/>
      <c r="L245" s="60"/>
      <c r="M245" s="60"/>
      <c r="N245" s="60"/>
      <c r="O245" s="61"/>
      <c r="P245" s="202"/>
    </row>
    <row r="246" spans="1:16" ht="26.25">
      <c r="A246" s="202"/>
      <c r="B246" s="164"/>
      <c r="C246" s="165"/>
      <c r="D246" s="165"/>
      <c r="E246" s="167"/>
      <c r="F246" s="166"/>
      <c r="G246" s="167"/>
      <c r="H246" s="168"/>
      <c r="I246" s="167"/>
      <c r="J246" s="167"/>
      <c r="K246" s="167"/>
      <c r="L246" s="167"/>
      <c r="M246" s="167"/>
      <c r="N246" s="167"/>
      <c r="O246" s="169"/>
      <c r="P246" s="202"/>
    </row>
    <row r="247" spans="1:16">
      <c r="A247" s="202"/>
      <c r="B247" s="107"/>
      <c r="C247" s="4"/>
      <c r="D247" s="4"/>
      <c r="E247" s="410" t="s">
        <v>177</v>
      </c>
      <c r="F247" s="410"/>
      <c r="G247" s="27" t="s">
        <v>177</v>
      </c>
      <c r="H247" s="93"/>
      <c r="I247" s="28"/>
      <c r="J247" s="1"/>
      <c r="K247" s="1"/>
      <c r="L247" s="4"/>
      <c r="M247" s="1"/>
      <c r="N247" s="1"/>
      <c r="O247" s="108"/>
      <c r="P247" s="202"/>
    </row>
    <row r="248" spans="1:16">
      <c r="A248" s="202"/>
      <c r="B248" s="107"/>
      <c r="C248" s="69" t="s">
        <v>382</v>
      </c>
      <c r="D248" s="70"/>
      <c r="E248" s="410" t="s">
        <v>680</v>
      </c>
      <c r="F248" s="48" t="s">
        <v>206</v>
      </c>
      <c r="G248" s="27" t="s">
        <v>176</v>
      </c>
      <c r="H248" s="93"/>
      <c r="I248" s="28" t="str">
        <f>I$22</f>
        <v>Checks</v>
      </c>
      <c r="J248" s="1"/>
      <c r="K248" s="1"/>
      <c r="L248" s="410" t="s">
        <v>207</v>
      </c>
      <c r="M248" s="1"/>
      <c r="N248" s="28" t="str">
        <f>N$22</f>
        <v>Supervisor Comments</v>
      </c>
      <c r="O248" s="108"/>
      <c r="P248" s="202"/>
    </row>
    <row r="249" spans="1:16">
      <c r="A249" s="202"/>
      <c r="B249" s="107"/>
      <c r="C249" s="125" t="s">
        <v>227</v>
      </c>
      <c r="D249" s="137"/>
      <c r="E249" s="203" t="s">
        <v>612</v>
      </c>
      <c r="F249" s="171">
        <v>1166</v>
      </c>
      <c r="G249" s="68"/>
      <c r="H249" s="23" t="s">
        <v>293</v>
      </c>
      <c r="I249" s="45" t="str">
        <f>IF(COUNTIF(I23:I27,"&lt;&gt; ")+COUNTIF(I29:I35,"&lt;&gt; ")+COUNTIF(I39:I44,"&lt;&gt; ")=0," ","Errors detected: "&amp;COUNTIF(I23:I27,"&lt;&gt; ")+COUNTIF(I29:I35,"&lt;&gt; ")+COUNTIF(I39:I44,"&lt;&gt; "))</f>
        <v>Errors detected: 18</v>
      </c>
      <c r="J249" s="1"/>
      <c r="K249" s="1"/>
      <c r="L249" s="209"/>
      <c r="M249" s="1"/>
      <c r="N249" s="211"/>
      <c r="O249" s="108"/>
      <c r="P249" s="202"/>
    </row>
    <row r="250" spans="1:16">
      <c r="A250" s="202"/>
      <c r="B250" s="107"/>
      <c r="C250" s="125" t="s">
        <v>228</v>
      </c>
      <c r="D250" s="137"/>
      <c r="E250" s="203" t="s">
        <v>612</v>
      </c>
      <c r="F250" s="171">
        <v>1167</v>
      </c>
      <c r="G250" s="68"/>
      <c r="H250" s="23" t="s">
        <v>294</v>
      </c>
      <c r="I250" s="45" t="str">
        <f>IF(COUNTIF(I51:I53,"&lt;&gt; ")+COUNTIF(I55:I61,"&lt;&gt; ")+COUNTIF(I63:I64,"&lt;&gt; ")=0," ","Errors detected: "&amp;COUNTIF(I51:I53,"&lt;&gt; ")+COUNTIF(I55:I61,"&lt;&gt; ")+COUNTIF(I63:I64,"&lt;&gt; "))</f>
        <v>Errors detected: 12</v>
      </c>
      <c r="J250" s="1"/>
      <c r="K250" s="1"/>
      <c r="L250" s="209"/>
      <c r="M250" s="1"/>
      <c r="N250" s="211"/>
      <c r="O250" s="108"/>
      <c r="P250" s="202"/>
    </row>
    <row r="251" spans="1:16">
      <c r="A251" s="202"/>
      <c r="B251" s="107"/>
      <c r="C251" s="125" t="s">
        <v>229</v>
      </c>
      <c r="D251" s="137"/>
      <c r="E251" s="203" t="s">
        <v>612</v>
      </c>
      <c r="F251" s="171">
        <v>1168</v>
      </c>
      <c r="G251" s="68"/>
      <c r="H251" s="23" t="s">
        <v>295</v>
      </c>
      <c r="I251" s="45" t="str">
        <f>IF(COUNTIF(I69:I72,"&lt;&gt; ")+COUNTIF(I74:I75,"&lt;&gt; ")=0," ","Errors detected: "&amp;COUNTIF(I69:I72,"&lt;&gt; ")+COUNTIF(I74:I75,"&lt;&gt; "))</f>
        <v>Errors detected: 6</v>
      </c>
      <c r="J251" s="1"/>
      <c r="K251" s="1"/>
      <c r="L251" s="209"/>
      <c r="M251" s="1"/>
      <c r="N251" s="211"/>
      <c r="O251" s="108"/>
      <c r="P251" s="202"/>
    </row>
    <row r="252" spans="1:16">
      <c r="A252" s="202"/>
      <c r="B252" s="107"/>
      <c r="C252" s="125" t="s">
        <v>230</v>
      </c>
      <c r="D252" s="137"/>
      <c r="E252" s="203" t="s">
        <v>612</v>
      </c>
      <c r="F252" s="171">
        <v>1169</v>
      </c>
      <c r="G252" s="68"/>
      <c r="H252" s="23" t="s">
        <v>296</v>
      </c>
      <c r="I252" s="45" t="str">
        <f>IF(COUNTIF(I79:I85,"&lt;&gt; ")=0," ","Errors detected: "&amp;COUNTIF(I79:I85,"&lt;&gt; "))</f>
        <v>Errors detected: 7</v>
      </c>
      <c r="J252" s="1"/>
      <c r="K252" s="1"/>
      <c r="L252" s="209"/>
      <c r="M252" s="1"/>
      <c r="N252" s="211"/>
      <c r="O252" s="108"/>
      <c r="P252" s="202"/>
    </row>
    <row r="253" spans="1:16">
      <c r="A253" s="202"/>
      <c r="B253" s="107"/>
      <c r="C253" s="125" t="s">
        <v>231</v>
      </c>
      <c r="D253" s="137"/>
      <c r="E253" s="203" t="s">
        <v>612</v>
      </c>
      <c r="F253" s="171">
        <v>1170</v>
      </c>
      <c r="G253" s="68"/>
      <c r="H253" s="23" t="s">
        <v>297</v>
      </c>
      <c r="I253" s="45" t="str">
        <f>IF(COUNTIF(I92:I103,"&lt;&gt; ")=0," ","Errors detected: "&amp;COUNTIF(I92:I103,"&lt;&gt; "))</f>
        <v>Errors detected: 12</v>
      </c>
      <c r="J253" s="1"/>
      <c r="K253" s="1"/>
      <c r="L253" s="209"/>
      <c r="M253" s="1"/>
      <c r="N253" s="211"/>
      <c r="O253" s="108"/>
      <c r="P253" s="202"/>
    </row>
    <row r="254" spans="1:16">
      <c r="A254" s="202"/>
      <c r="B254" s="107"/>
      <c r="C254" s="125" t="s">
        <v>232</v>
      </c>
      <c r="D254" s="137"/>
      <c r="E254" s="203" t="s">
        <v>612</v>
      </c>
      <c r="F254" s="171">
        <v>1171</v>
      </c>
      <c r="G254" s="68"/>
      <c r="H254" s="23" t="s">
        <v>298</v>
      </c>
      <c r="I254" s="45" t="str">
        <f>IF(COUNTIF(I108,"&lt;&gt; ")=0," ","Errors detected: "&amp;COUNTIF(I108,"&lt;&gt; "))</f>
        <v>Errors detected: 1</v>
      </c>
      <c r="J254" s="1"/>
      <c r="K254" s="1"/>
      <c r="L254" s="209"/>
      <c r="M254" s="1"/>
      <c r="N254" s="211"/>
      <c r="O254" s="108"/>
      <c r="P254" s="202"/>
    </row>
    <row r="255" spans="1:16">
      <c r="A255" s="202"/>
      <c r="B255" s="107"/>
      <c r="C255" s="125" t="s">
        <v>233</v>
      </c>
      <c r="D255" s="137"/>
      <c r="E255" s="203" t="s">
        <v>612</v>
      </c>
      <c r="F255" s="171">
        <v>1172</v>
      </c>
      <c r="G255" s="68"/>
      <c r="H255" s="23" t="s">
        <v>299</v>
      </c>
      <c r="I255" s="45" t="str">
        <f>IF(COUNTIF(I111:I112,"&lt;&gt; ")=0," ","Errors detected: "&amp;COUNTIF(I111:I112,"&lt;&gt; "))</f>
        <v>Errors detected: 2</v>
      </c>
      <c r="J255" s="1"/>
      <c r="K255" s="1"/>
      <c r="L255" s="209"/>
      <c r="M255" s="1"/>
      <c r="N255" s="211"/>
      <c r="O255" s="108"/>
      <c r="P255" s="202"/>
    </row>
    <row r="256" spans="1:16">
      <c r="A256" s="202"/>
      <c r="B256" s="107"/>
      <c r="C256" s="125" t="s">
        <v>234</v>
      </c>
      <c r="D256" s="137"/>
      <c r="E256" s="203" t="s">
        <v>612</v>
      </c>
      <c r="F256" s="171">
        <v>1173</v>
      </c>
      <c r="G256" s="68"/>
      <c r="H256" s="23" t="s">
        <v>300</v>
      </c>
      <c r="I256" s="45" t="str">
        <f>IF(COUNTIF(I118:I119,"&lt;&gt; ")=0," ","Errors detected: "&amp;COUNTIF(I118:I119,"&lt;&gt; "))</f>
        <v>Errors detected: 2</v>
      </c>
      <c r="J256" s="1"/>
      <c r="K256" s="1"/>
      <c r="L256" s="209"/>
      <c r="M256" s="1"/>
      <c r="N256" s="211"/>
      <c r="O256" s="108"/>
      <c r="P256" s="202"/>
    </row>
    <row r="257" spans="1:16">
      <c r="A257" s="202"/>
      <c r="B257" s="107"/>
      <c r="C257" s="125" t="s">
        <v>235</v>
      </c>
      <c r="D257" s="137"/>
      <c r="E257" s="203" t="s">
        <v>612</v>
      </c>
      <c r="F257" s="171">
        <v>1174</v>
      </c>
      <c r="G257" s="68"/>
      <c r="H257" s="23" t="s">
        <v>301</v>
      </c>
      <c r="I257" s="45" t="str">
        <f>IF(COUNTIF(I123:I126,"&lt;&gt; ")=0," ","Errors detected: "&amp;COUNTIF(I123:I126,"&lt;&gt; "))</f>
        <v>Errors detected: 4</v>
      </c>
      <c r="J257" s="1"/>
      <c r="K257" s="1"/>
      <c r="L257" s="209"/>
      <c r="M257" s="1"/>
      <c r="N257" s="211"/>
      <c r="O257" s="108"/>
      <c r="P257" s="202"/>
    </row>
    <row r="258" spans="1:16">
      <c r="A258" s="202"/>
      <c r="B258" s="107"/>
      <c r="C258" s="125" t="s">
        <v>236</v>
      </c>
      <c r="D258" s="137"/>
      <c r="E258" s="203" t="s">
        <v>612</v>
      </c>
      <c r="F258" s="171">
        <v>1175</v>
      </c>
      <c r="G258" s="68"/>
      <c r="H258" s="23" t="s">
        <v>302</v>
      </c>
      <c r="I258" s="45" t="str">
        <f>IF(COUNTIF(I130,"&lt;&gt; ")=0," ","Errors detected: "&amp;COUNTIF(I130,"&lt;&gt; "))</f>
        <v>Errors detected: 1</v>
      </c>
      <c r="J258" s="1"/>
      <c r="K258" s="1"/>
      <c r="L258" s="209"/>
      <c r="M258" s="1"/>
      <c r="N258" s="211"/>
      <c r="O258" s="108"/>
      <c r="P258" s="202"/>
    </row>
    <row r="259" spans="1:16">
      <c r="A259" s="202"/>
      <c r="B259" s="107"/>
      <c r="C259" s="125" t="s">
        <v>237</v>
      </c>
      <c r="D259" s="137"/>
      <c r="E259" s="203" t="s">
        <v>612</v>
      </c>
      <c r="F259" s="171">
        <v>1176</v>
      </c>
      <c r="G259" s="68"/>
      <c r="H259" s="23" t="s">
        <v>303</v>
      </c>
      <c r="I259" s="45" t="str">
        <f>IF(COUNTIF(I135,"&lt;&gt; ")=0," ","Errors detected: "&amp;COUNTIF(I135,"&lt;&gt; "))</f>
        <v>Errors detected: 1</v>
      </c>
      <c r="J259" s="1"/>
      <c r="K259" s="1"/>
      <c r="L259" s="209"/>
      <c r="M259" s="1"/>
      <c r="N259" s="211"/>
      <c r="O259" s="108"/>
      <c r="P259" s="202"/>
    </row>
    <row r="260" spans="1:16">
      <c r="A260" s="202"/>
      <c r="B260" s="107"/>
      <c r="C260" s="125" t="s">
        <v>238</v>
      </c>
      <c r="D260" s="137"/>
      <c r="E260" s="203" t="s">
        <v>612</v>
      </c>
      <c r="F260" s="171">
        <v>1177</v>
      </c>
      <c r="G260" s="68"/>
      <c r="H260" s="23" t="s">
        <v>304</v>
      </c>
      <c r="I260" s="45" t="str">
        <f>IF(COUNTIF(I138:I140,"&lt;&gt; ")=0," ","Errors detected: "&amp;COUNTIF(I138:I140,"&lt;&gt; "))</f>
        <v>Errors detected: 3</v>
      </c>
      <c r="J260" s="1"/>
      <c r="K260" s="1"/>
      <c r="L260" s="209"/>
      <c r="M260" s="1"/>
      <c r="N260" s="211"/>
      <c r="O260" s="108"/>
      <c r="P260" s="202"/>
    </row>
    <row r="261" spans="1:16">
      <c r="A261" s="202"/>
      <c r="B261" s="107"/>
      <c r="C261" s="52" t="s">
        <v>225</v>
      </c>
      <c r="D261" s="129"/>
      <c r="E261" s="32"/>
      <c r="F261" s="32"/>
      <c r="G261" s="32"/>
      <c r="H261" s="23"/>
      <c r="I261" s="32"/>
      <c r="J261" s="1"/>
      <c r="K261" s="1"/>
      <c r="L261" s="1"/>
      <c r="M261" s="1"/>
      <c r="N261" s="1"/>
      <c r="O261" s="108"/>
      <c r="P261" s="202"/>
    </row>
    <row r="262" spans="1:16">
      <c r="A262" s="202"/>
      <c r="B262" s="107"/>
      <c r="C262" s="172" t="s">
        <v>250</v>
      </c>
      <c r="D262" s="129"/>
      <c r="E262" s="32"/>
      <c r="F262" s="32"/>
      <c r="G262" s="32"/>
      <c r="H262" s="23" t="s">
        <v>305</v>
      </c>
      <c r="I262" s="45" t="str">
        <f>IF(COUNTIF(I7:I10,"&lt;&gt; ")+COUNTIF(I12,"&lt;&gt; ")=0," ","Errors detected: "&amp;COUNTIF(I7:I10,"&lt;&gt; ")+COUNTIF(I12,"&lt;&gt; "))</f>
        <v>Errors detected: 5</v>
      </c>
      <c r="J262" s="1"/>
      <c r="K262" s="1"/>
      <c r="L262" s="1"/>
      <c r="M262" s="1"/>
      <c r="N262" s="1"/>
      <c r="O262" s="108"/>
      <c r="P262" s="202"/>
    </row>
    <row r="263" spans="1:16">
      <c r="A263" s="202"/>
      <c r="B263" s="107"/>
      <c r="C263" s="172" t="s">
        <v>240</v>
      </c>
      <c r="D263" s="129"/>
      <c r="E263" s="32"/>
      <c r="F263" s="32"/>
      <c r="G263" s="32"/>
      <c r="H263" s="23" t="s">
        <v>306</v>
      </c>
      <c r="I263" s="45" t="str">
        <f>IF(COUNTIF(I14:I18,"&lt;&gt; ")=0," ","Errors detected: "&amp;COUNTIF(I14:I18,"&lt;&gt; "))</f>
        <v>Errors detected: 5</v>
      </c>
      <c r="J263" s="1"/>
      <c r="K263" s="1"/>
      <c r="L263" s="1"/>
      <c r="M263" s="1"/>
      <c r="N263" s="1"/>
      <c r="O263" s="108"/>
      <c r="P263" s="202"/>
    </row>
    <row r="264" spans="1:16">
      <c r="A264" s="202"/>
      <c r="B264" s="107"/>
      <c r="C264" s="172" t="s">
        <v>239</v>
      </c>
      <c r="D264" s="129"/>
      <c r="E264" s="32"/>
      <c r="F264" s="32"/>
      <c r="G264" s="32"/>
      <c r="H264" s="23" t="s">
        <v>307</v>
      </c>
      <c r="I264" s="45" t="str">
        <f>IF(COUNTIF(I146:I147,"&lt;&gt; ")+COUNTIF(I149:I155,"&lt;&gt; ")+COUNTIF(I158,"&lt;&gt; ")=0," ","Errors detected: "&amp;COUNTIF(I146:I147,"&lt;&gt; ")+COUNTIF(I149:I155,"&lt;&gt; ")+COUNTIF(I158,"&lt;&gt; "))</f>
        <v>Errors detected: 10</v>
      </c>
      <c r="J264" s="1"/>
      <c r="K264" s="1"/>
      <c r="L264" s="1"/>
      <c r="M264" s="1"/>
      <c r="N264" s="1"/>
      <c r="O264" s="108"/>
      <c r="P264" s="202"/>
    </row>
    <row r="265" spans="1:16">
      <c r="A265" s="202"/>
      <c r="B265" s="107"/>
      <c r="C265" s="172" t="s">
        <v>352</v>
      </c>
      <c r="D265" s="129"/>
      <c r="E265" s="32"/>
      <c r="F265" s="32"/>
      <c r="G265" s="32"/>
      <c r="H265" s="23" t="s">
        <v>308</v>
      </c>
      <c r="I265" s="45" t="str">
        <f>IF(COUNTIF(I161:I165,"&lt;&gt; ")+COUNTIF(I169:I171,"&lt;&gt; ")=0," ","Errors detected: "&amp;COUNTIF(I161:I165,"&lt;&gt; ")+COUNTIF(I169:I171,"&lt;&gt; "))</f>
        <v>Errors detected: 8</v>
      </c>
      <c r="J265" s="1"/>
      <c r="K265" s="1"/>
      <c r="L265" s="1"/>
      <c r="M265" s="1"/>
      <c r="N265" s="1"/>
      <c r="O265" s="108"/>
      <c r="P265" s="202"/>
    </row>
    <row r="266" spans="1:16">
      <c r="A266" s="202"/>
      <c r="B266" s="107"/>
      <c r="C266" s="172" t="s">
        <v>353</v>
      </c>
      <c r="D266" s="129"/>
      <c r="E266" s="32"/>
      <c r="F266" s="32"/>
      <c r="G266" s="32"/>
      <c r="H266" s="23" t="s">
        <v>309</v>
      </c>
      <c r="I266" s="45" t="str">
        <f>IF(COUNTIF(I176:I182,"Comment required")&lt;&gt;0,"Errors detected: "&amp;COUNTIF(I176:I182,"Comment required"),IF(COUNTIF(I176:I182,"&lt;&gt; ")=0," ","Warnings detected: "&amp;COUNTIF(I176:I182,"&lt;&gt; ")))</f>
        <v>Errors detected: 7</v>
      </c>
      <c r="J266" s="1"/>
      <c r="K266" s="1"/>
      <c r="L266" s="1"/>
      <c r="M266" s="1"/>
      <c r="N266" s="1"/>
      <c r="O266" s="108"/>
      <c r="P266" s="202"/>
    </row>
    <row r="267" spans="1:16">
      <c r="A267" s="202"/>
      <c r="B267" s="107"/>
      <c r="C267" s="172" t="s">
        <v>354</v>
      </c>
      <c r="D267" s="129"/>
      <c r="E267" s="32"/>
      <c r="F267" s="32"/>
      <c r="G267" s="32"/>
      <c r="H267" s="23" t="s">
        <v>358</v>
      </c>
      <c r="I267" s="45" t="str">
        <f>IF(COUNTIF(I185:I187,"Comment required")&lt;&gt;0,"Errors detected: "&amp;COUNTIF(I185:I187,"Comment required"),IF(COUNTIF(I185:I187,"&lt;&gt; ")=0," ","Warnings detected: "&amp;COUNTIF(I185:I187,"&lt;&gt; ")))</f>
        <v>Errors detected: 3</v>
      </c>
      <c r="J267" s="1"/>
      <c r="K267" s="1"/>
      <c r="L267" s="1"/>
      <c r="M267" s="1"/>
      <c r="N267" s="1"/>
      <c r="O267" s="108"/>
      <c r="P267" s="202"/>
    </row>
    <row r="268" spans="1:16">
      <c r="A268" s="202"/>
      <c r="B268" s="107"/>
      <c r="C268" s="172" t="s">
        <v>355</v>
      </c>
      <c r="D268" s="129"/>
      <c r="E268" s="32"/>
      <c r="F268" s="32"/>
      <c r="G268" s="32"/>
      <c r="H268" s="23" t="s">
        <v>359</v>
      </c>
      <c r="I268" s="45" t="str">
        <f>IF(COUNTIF(I191:I215,"Comment required")&lt;&gt;0,"Errors detected: "&amp;COUNTIF(I191:I215,"Comment required"),IF(COUNTIF(I191:I215,"&lt;&gt; ")=0," ","Warnings detected: "&amp;COUNTIF(I191:I215,"&lt;&gt; ")))</f>
        <v>Errors detected: 25</v>
      </c>
      <c r="J268" s="1"/>
      <c r="K268" s="1"/>
      <c r="L268" s="1"/>
      <c r="M268" s="1"/>
      <c r="N268" s="1"/>
      <c r="O268" s="108"/>
      <c r="P268" s="202"/>
    </row>
    <row r="269" spans="1:16">
      <c r="A269" s="202"/>
      <c r="B269" s="107"/>
      <c r="C269" s="172" t="s">
        <v>356</v>
      </c>
      <c r="D269" s="129"/>
      <c r="E269" s="32"/>
      <c r="F269" s="32"/>
      <c r="G269" s="32"/>
      <c r="H269" s="23" t="s">
        <v>360</v>
      </c>
      <c r="I269" s="45" t="str">
        <f>IF(COUNTIF(I218:I222,"Comment required")&lt;&gt;0,"Errors detected: "&amp;COUNTIF(I218:I222,"Comment required"),IF(COUNTIF(I218:I222,"&lt;&gt; ")=0," ","Warnings detected: "&amp;COUNTIF(I218:I222,"&lt;&gt; ")))</f>
        <v>Errors detected: 5</v>
      </c>
      <c r="J269" s="1"/>
      <c r="K269" s="1"/>
      <c r="L269" s="1"/>
      <c r="M269" s="1"/>
      <c r="N269" s="1"/>
      <c r="O269" s="108"/>
      <c r="P269" s="202"/>
    </row>
    <row r="270" spans="1:16">
      <c r="A270" s="202"/>
      <c r="B270" s="107"/>
      <c r="C270" s="172" t="s">
        <v>357</v>
      </c>
      <c r="D270" s="129"/>
      <c r="E270" s="32"/>
      <c r="F270" s="32"/>
      <c r="G270" s="32"/>
      <c r="H270" s="23" t="s">
        <v>361</v>
      </c>
      <c r="I270" s="45" t="str">
        <f>IF(COUNTIF(I229:I243,"&lt;&gt; ")=0," ","Errors detected: "&amp;COUNTIF(I229:I243,"&lt;&gt; "))</f>
        <v>Errors detected: 15</v>
      </c>
      <c r="J270" s="1"/>
      <c r="K270" s="1"/>
      <c r="L270" s="1"/>
      <c r="M270" s="1"/>
      <c r="N270" s="1"/>
      <c r="O270" s="108"/>
      <c r="P270" s="202"/>
    </row>
    <row r="271" spans="1:16">
      <c r="A271" s="202"/>
      <c r="B271" s="110"/>
      <c r="C271" s="111"/>
      <c r="D271" s="111"/>
      <c r="E271" s="111"/>
      <c r="F271" s="111"/>
      <c r="G271" s="111"/>
      <c r="H271" s="112"/>
      <c r="I271" s="111"/>
      <c r="J271" s="111"/>
      <c r="K271" s="111"/>
      <c r="L271" s="111"/>
      <c r="M271" s="111"/>
      <c r="N271" s="111"/>
      <c r="O271" s="113"/>
      <c r="P271" s="202"/>
    </row>
    <row r="272" spans="1:16">
      <c r="A272" s="15"/>
      <c r="B272" s="200"/>
      <c r="C272" s="4"/>
      <c r="D272" s="4"/>
      <c r="E272" s="202"/>
      <c r="F272" s="202"/>
      <c r="G272" s="4"/>
      <c r="H272" s="134"/>
      <c r="I272" s="4"/>
      <c r="J272" s="15"/>
      <c r="K272" s="3"/>
      <c r="L272" s="4"/>
      <c r="M272" s="15"/>
      <c r="N272" s="4"/>
      <c r="O272" s="3"/>
      <c r="P272" s="15"/>
    </row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</sheetData>
  <sheetProtection password="D63A" sheet="1" objects="1" scenarios="1"/>
  <mergeCells count="15">
    <mergeCell ref="D189:D190"/>
    <mergeCell ref="E189:E190"/>
    <mergeCell ref="G189:G190"/>
    <mergeCell ref="C2:E2"/>
    <mergeCell ref="C36:E37"/>
    <mergeCell ref="C45:E46"/>
    <mergeCell ref="C65:E66"/>
    <mergeCell ref="C90:C91"/>
    <mergeCell ref="D90:D91"/>
    <mergeCell ref="E90:E91"/>
    <mergeCell ref="G90:G91"/>
    <mergeCell ref="C104:E104"/>
    <mergeCell ref="D167:D168"/>
    <mergeCell ref="E167:E168"/>
    <mergeCell ref="G167:G168"/>
  </mergeCells>
  <conditionalFormatting sqref="G7:G8 G12">
    <cfRule type="containsText" priority="33" stopIfTrue="1" operator="containsText" text="&lt;select&gt;">
      <formula>NOT(ISERROR(SEARCH("&lt;select&gt;",G7)))</formula>
    </cfRule>
  </conditionalFormatting>
  <conditionalFormatting sqref="G7:G8 G12">
    <cfRule type="containsBlanks" priority="34" stopIfTrue="1">
      <formula>LEN(TRIM(G7))=0</formula>
    </cfRule>
  </conditionalFormatting>
  <conditionalFormatting sqref="I23:I27 I29:I35 I39:I44 I7:I10 I12">
    <cfRule type="cellIs" dxfId="31" priority="7" stopIfTrue="1" operator="notEqual">
      <formula>" "</formula>
    </cfRule>
  </conditionalFormatting>
  <conditionalFormatting sqref="I51:I53 I55:I61 I63:I64">
    <cfRule type="cellIs" dxfId="30" priority="8" stopIfTrue="1" operator="notEqual">
      <formula>" "</formula>
    </cfRule>
  </conditionalFormatting>
  <conditionalFormatting sqref="I69:I72 I74:I75">
    <cfRule type="cellIs" dxfId="29" priority="9" stopIfTrue="1" operator="notEqual">
      <formula>" "</formula>
    </cfRule>
  </conditionalFormatting>
  <conditionalFormatting sqref="I79:I85">
    <cfRule type="cellIs" dxfId="28" priority="10" stopIfTrue="1" operator="notEqual">
      <formula>" "</formula>
    </cfRule>
  </conditionalFormatting>
  <conditionalFormatting sqref="I92:I103">
    <cfRule type="cellIs" dxfId="27" priority="11" stopIfTrue="1" operator="notEqual">
      <formula>" "</formula>
    </cfRule>
  </conditionalFormatting>
  <conditionalFormatting sqref="I111:I112">
    <cfRule type="cellIs" dxfId="26" priority="13" stopIfTrue="1" operator="notEqual">
      <formula>" "</formula>
    </cfRule>
  </conditionalFormatting>
  <conditionalFormatting sqref="I118:I119">
    <cfRule type="cellIs" dxfId="25" priority="14" stopIfTrue="1" operator="notEqual">
      <formula>" "</formula>
    </cfRule>
  </conditionalFormatting>
  <conditionalFormatting sqref="I123:I126">
    <cfRule type="cellIs" dxfId="24" priority="15" stopIfTrue="1" operator="notEqual">
      <formula>" "</formula>
    </cfRule>
  </conditionalFormatting>
  <conditionalFormatting sqref="I130">
    <cfRule type="cellIs" dxfId="23" priority="16" stopIfTrue="1" operator="notEqual">
      <formula>" "</formula>
    </cfRule>
  </conditionalFormatting>
  <conditionalFormatting sqref="I138:I140">
    <cfRule type="cellIs" dxfId="22" priority="18" stopIfTrue="1" operator="notEqual">
      <formula>" "</formula>
    </cfRule>
  </conditionalFormatting>
  <conditionalFormatting sqref="I146:I147 I149:I155">
    <cfRule type="cellIs" dxfId="21" priority="19" stopIfTrue="1" operator="notEqual">
      <formula>" "</formula>
    </cfRule>
  </conditionalFormatting>
  <conditionalFormatting sqref="I158">
    <cfRule type="cellIs" dxfId="20" priority="20" stopIfTrue="1" operator="notEqual">
      <formula>" "</formula>
    </cfRule>
  </conditionalFormatting>
  <conditionalFormatting sqref="I229:I243">
    <cfRule type="cellIs" dxfId="19" priority="31" stopIfTrue="1" operator="notEqual">
      <formula>" "</formula>
    </cfRule>
  </conditionalFormatting>
  <conditionalFormatting sqref="G16">
    <cfRule type="containsText" priority="35" stopIfTrue="1" operator="containsText" text="&lt;select&gt;">
      <formula>NOT(ISERROR(SEARCH("&lt;select&gt;",G16)))</formula>
    </cfRule>
  </conditionalFormatting>
  <conditionalFormatting sqref="G16">
    <cfRule type="containsBlanks" priority="36" stopIfTrue="1">
      <formula>LEN(TRIM(G16))=0</formula>
    </cfRule>
  </conditionalFormatting>
  <conditionalFormatting sqref="I14:I18">
    <cfRule type="cellIs" dxfId="18" priority="6" stopIfTrue="1" operator="notEqual">
      <formula>" "</formula>
    </cfRule>
  </conditionalFormatting>
  <conditionalFormatting sqref="I135">
    <cfRule type="cellIs" dxfId="17" priority="17" stopIfTrue="1" operator="notEqual">
      <formula>" "</formula>
    </cfRule>
  </conditionalFormatting>
  <conditionalFormatting sqref="I108">
    <cfRule type="cellIs" dxfId="16" priority="12" stopIfTrue="1" operator="notEqual">
      <formula>" "</formula>
    </cfRule>
  </conditionalFormatting>
  <conditionalFormatting sqref="I169:I171">
    <cfRule type="cellIs" dxfId="15" priority="22" stopIfTrue="1" operator="notEqual">
      <formula>" "</formula>
    </cfRule>
  </conditionalFormatting>
  <conditionalFormatting sqref="I249:I260 I262:I270">
    <cfRule type="cellIs" dxfId="14" priority="32" stopIfTrue="1" operator="notEqual">
      <formula>" "</formula>
    </cfRule>
  </conditionalFormatting>
  <conditionalFormatting sqref="I161:I165">
    <cfRule type="cellIs" dxfId="13" priority="21" stopIfTrue="1" operator="notEqual">
      <formula>" "</formula>
    </cfRule>
  </conditionalFormatting>
  <conditionalFormatting sqref="I176:I182">
    <cfRule type="containsText" dxfId="12" priority="23" stopIfTrue="1" operator="containsText" text="Comment required">
      <formula>NOT(ISERROR(SEARCH("Comment required",I176)))</formula>
    </cfRule>
    <cfRule type="cellIs" dxfId="11" priority="24" stopIfTrue="1" operator="notEqual">
      <formula>" "</formula>
    </cfRule>
  </conditionalFormatting>
  <conditionalFormatting sqref="I185:I187">
    <cfRule type="containsText" dxfId="10" priority="25" stopIfTrue="1" operator="containsText" text="Comment required">
      <formula>NOT(ISERROR(SEARCH("Comment required",I185)))</formula>
    </cfRule>
    <cfRule type="cellIs" dxfId="9" priority="26" stopIfTrue="1" operator="notEqual">
      <formula>" "</formula>
    </cfRule>
  </conditionalFormatting>
  <conditionalFormatting sqref="I191:I215">
    <cfRule type="containsText" dxfId="8" priority="27" stopIfTrue="1" operator="containsText" text="Comment required">
      <formula>NOT(ISERROR(SEARCH("Comment required",I191)))</formula>
    </cfRule>
    <cfRule type="cellIs" dxfId="7" priority="28" stopIfTrue="1" operator="notEqual">
      <formula>" "</formula>
    </cfRule>
  </conditionalFormatting>
  <conditionalFormatting sqref="I218:I222">
    <cfRule type="containsText" dxfId="6" priority="29" stopIfTrue="1" operator="containsText" text="Comment required">
      <formula>NOT(ISERROR(SEARCH("Comment required",I218)))</formula>
    </cfRule>
    <cfRule type="cellIs" dxfId="5" priority="30" stopIfTrue="1" operator="notEqual">
      <formula>" "</formula>
    </cfRule>
  </conditionalFormatting>
  <conditionalFormatting sqref="I266:I269">
    <cfRule type="containsText" dxfId="4" priority="5" stopIfTrue="1" operator="containsText" text="Warnings detected">
      <formula>NOT(ISERROR(SEARCH("Warnings detected",I266)))</formula>
    </cfRule>
  </conditionalFormatting>
  <conditionalFormatting sqref="L118:L119 L111:L112 L108 L92:L103 L79:L85 L74:L75 L69:L72 L63:L64 L55:L61 L51:L53 L39:L44 L29:L35 L23:L27 L16:L18">
    <cfRule type="expression" dxfId="3" priority="4" stopIfTrue="1">
      <formula>LEN(L16)&gt;56</formula>
    </cfRule>
  </conditionalFormatting>
  <conditionalFormatting sqref="L249:L260 L218:L222 L191:L215 L185:L187 L169:L171 L161:L165 L158 L149:L155 L146:L147 L138:L140 L135 L130 L123:L126 L176:L182">
    <cfRule type="expression" dxfId="2" priority="3" stopIfTrue="1">
      <formula>LEN(L123)&gt;56</formula>
    </cfRule>
  </conditionalFormatting>
  <conditionalFormatting sqref="N118:N119 N111:N112 N108 N92:N103 N79:N85 N74:N75 N69:N72 N63:N64 N55:N61 N51:N53 N39:N44 N29:N35 N23:N27 N16:N18">
    <cfRule type="expression" dxfId="1" priority="2" stopIfTrue="1">
      <formula>LEN(N16)&gt;30</formula>
    </cfRule>
  </conditionalFormatting>
  <conditionalFormatting sqref="N249:N260 N229:N243 N218:N222 N191:N215 N185:N187 N176:N182 N169:N171 N161:N165 N158 N149:N155 N146:N147 N138:N140 N135 N130 N123:N126">
    <cfRule type="expression" dxfId="0" priority="1" stopIfTrue="1">
      <formula>LEN(N123)&gt;30</formula>
    </cfRule>
  </conditionalFormatting>
  <dataValidations count="6">
    <dataValidation type="list" allowBlank="1" showInputMessage="1" showErrorMessage="1" sqref="G10">
      <formula1>ReportingCurrency</formula1>
    </dataValidation>
    <dataValidation type="list" allowBlank="1" showInputMessage="1" showErrorMessage="1" sqref="G14">
      <formula1>ReportingUnit</formula1>
    </dataValidation>
    <dataValidation type="list" allowBlank="1" showInputMessage="1" showErrorMessage="1" sqref="G15">
      <formula1>AccountingStandard</formula1>
    </dataValidation>
    <dataValidation type="list" allowBlank="1" showInputMessage="1" showErrorMessage="1" sqref="G7">
      <formula1>CountryCode</formula1>
    </dataValidation>
    <dataValidation type="list" showInputMessage="1" showErrorMessage="1" sqref="K29:K35 K146:K147 K69:K72 K63:K64 K79:K85 K92:K103 K55:K61 K118:K119 K123:K126 K130 K138:K140 K108 K158 K23:K27 K39:K44 K74:K75 K51:K53 K111:K112 K135 K191:K215 K149:K155 K169:K171 K218:K222 K185:K187 K161:K165 K176:K182">
      <formula1>ChecksResponses</formula1>
    </dataValidation>
    <dataValidation type="list" allowBlank="1" showInputMessage="1" showErrorMessage="1" sqref="G9">
      <formula1>ReportingDate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1"/>
  </sheetPr>
  <dimension ref="A1:XFC40"/>
  <sheetViews>
    <sheetView showGridLines="0" workbookViewId="0">
      <selection activeCell="B23" sqref="B23"/>
    </sheetView>
  </sheetViews>
  <sheetFormatPr defaultColWidth="0" defaultRowHeight="12.75" customHeight="1" zeroHeight="1"/>
  <cols>
    <col min="1" max="1" width="29.85546875" style="215" bestFit="1" customWidth="1"/>
    <col min="2" max="4" width="12.7109375" style="216" customWidth="1"/>
    <col min="5" max="5" width="4.7109375" style="217" customWidth="1"/>
    <col min="6" max="16383" width="9.140625" style="217" hidden="1"/>
    <col min="16384" max="16384" width="4.140625" style="217" hidden="1"/>
  </cols>
  <sheetData>
    <row r="1" spans="1:5" s="393" customFormat="1" ht="15.75">
      <c r="A1" s="394" t="s">
        <v>440</v>
      </c>
      <c r="B1" s="394" t="s">
        <v>441</v>
      </c>
      <c r="C1" s="394" t="s">
        <v>442</v>
      </c>
      <c r="D1" s="394" t="s">
        <v>443</v>
      </c>
      <c r="E1" s="392">
        <f>+COUNTA(D3:D39)</f>
        <v>37</v>
      </c>
    </row>
    <row r="2" spans="1:5"/>
    <row r="3" spans="1:5">
      <c r="A3" s="215" t="s">
        <v>444</v>
      </c>
      <c r="B3" s="216" t="str">
        <f t="shared" ref="B3:B39" si="0">+C3&amp;"_"&amp;D3</f>
        <v>NL_ABN</v>
      </c>
      <c r="C3" s="218" t="s">
        <v>18</v>
      </c>
      <c r="D3" s="216" t="s">
        <v>445</v>
      </c>
    </row>
    <row r="4" spans="1:5">
      <c r="A4" s="215" t="s">
        <v>446</v>
      </c>
      <c r="B4" s="216" t="str">
        <f t="shared" si="0"/>
        <v>IT_MPS</v>
      </c>
      <c r="C4" s="218" t="s">
        <v>17</v>
      </c>
      <c r="D4" s="216" t="s">
        <v>447</v>
      </c>
    </row>
    <row r="5" spans="1:5">
      <c r="A5" s="215" t="s">
        <v>448</v>
      </c>
      <c r="B5" s="216" t="str">
        <f t="shared" si="0"/>
        <v>FR_POS</v>
      </c>
      <c r="C5" s="218" t="s">
        <v>15</v>
      </c>
      <c r="D5" s="216" t="s">
        <v>449</v>
      </c>
    </row>
    <row r="6" spans="1:5">
      <c r="A6" s="215" t="s">
        <v>450</v>
      </c>
      <c r="B6" s="216" t="str">
        <f t="shared" si="0"/>
        <v>UK_BAR</v>
      </c>
      <c r="C6" s="218" t="s">
        <v>451</v>
      </c>
      <c r="D6" s="216" t="s">
        <v>452</v>
      </c>
    </row>
    <row r="7" spans="1:5">
      <c r="A7" s="215" t="s">
        <v>499</v>
      </c>
      <c r="B7" s="216" t="str">
        <f t="shared" si="0"/>
        <v>DE_BLB</v>
      </c>
      <c r="C7" s="218" t="s">
        <v>12</v>
      </c>
      <c r="D7" s="216" t="s">
        <v>500</v>
      </c>
    </row>
    <row r="8" spans="1:5">
      <c r="A8" s="215" t="s">
        <v>453</v>
      </c>
      <c r="B8" s="216" t="str">
        <f t="shared" si="0"/>
        <v>ES_BBV</v>
      </c>
      <c r="C8" s="218" t="s">
        <v>14</v>
      </c>
      <c r="D8" s="216" t="s">
        <v>454</v>
      </c>
    </row>
    <row r="9" spans="1:5">
      <c r="A9" s="215" t="s">
        <v>647</v>
      </c>
      <c r="B9" s="216" t="str">
        <f t="shared" si="0"/>
        <v>ES_BFA</v>
      </c>
      <c r="C9" s="218" t="s">
        <v>14</v>
      </c>
      <c r="D9" s="216" t="s">
        <v>647</v>
      </c>
    </row>
    <row r="10" spans="1:5">
      <c r="A10" s="215" t="s">
        <v>455</v>
      </c>
      <c r="B10" s="216" t="str">
        <f t="shared" si="0"/>
        <v>FR_BNP</v>
      </c>
      <c r="C10" s="218" t="s">
        <v>15</v>
      </c>
      <c r="D10" s="216" t="s">
        <v>456</v>
      </c>
    </row>
    <row r="11" spans="1:5">
      <c r="A11" s="215" t="s">
        <v>457</v>
      </c>
      <c r="B11" s="216" t="str">
        <f t="shared" si="0"/>
        <v>FR_BPC</v>
      </c>
      <c r="C11" s="218" t="s">
        <v>15</v>
      </c>
      <c r="D11" s="216" t="s">
        <v>458</v>
      </c>
    </row>
    <row r="12" spans="1:5">
      <c r="A12" s="215" t="s">
        <v>501</v>
      </c>
      <c r="B12" s="216" t="str">
        <f t="shared" si="0"/>
        <v>DE_COM</v>
      </c>
      <c r="C12" s="218" t="s">
        <v>12</v>
      </c>
      <c r="D12" s="216" t="s">
        <v>502</v>
      </c>
    </row>
    <row r="13" spans="1:5">
      <c r="A13" s="215" t="s">
        <v>459</v>
      </c>
      <c r="B13" s="216" t="str">
        <f t="shared" si="0"/>
        <v>FR_CAG</v>
      </c>
      <c r="C13" s="218" t="s">
        <v>15</v>
      </c>
      <c r="D13" s="216" t="s">
        <v>460</v>
      </c>
    </row>
    <row r="14" spans="1:5">
      <c r="A14" s="215" t="s">
        <v>461</v>
      </c>
      <c r="B14" s="216" t="str">
        <f t="shared" si="0"/>
        <v>FR_CMU</v>
      </c>
      <c r="C14" s="218" t="s">
        <v>15</v>
      </c>
      <c r="D14" s="216" t="s">
        <v>462</v>
      </c>
    </row>
    <row r="15" spans="1:5">
      <c r="A15" s="215" t="s">
        <v>463</v>
      </c>
      <c r="B15" s="216" t="str">
        <f t="shared" si="0"/>
        <v>DK_DAN</v>
      </c>
      <c r="C15" s="218" t="s">
        <v>13</v>
      </c>
      <c r="D15" s="216" t="s">
        <v>464</v>
      </c>
    </row>
    <row r="16" spans="1:5">
      <c r="A16" s="215" t="s">
        <v>503</v>
      </c>
      <c r="B16" s="216" t="str">
        <f t="shared" si="0"/>
        <v>DE_DEB</v>
      </c>
      <c r="C16" s="218" t="s">
        <v>12</v>
      </c>
      <c r="D16" s="216" t="s">
        <v>504</v>
      </c>
    </row>
    <row r="17" spans="1:4">
      <c r="A17" s="215" t="s">
        <v>465</v>
      </c>
      <c r="B17" s="216" t="str">
        <f t="shared" si="0"/>
        <v>NO_DNB</v>
      </c>
      <c r="C17" s="218" t="s">
        <v>19</v>
      </c>
      <c r="D17" s="216" t="s">
        <v>465</v>
      </c>
    </row>
    <row r="18" spans="1:4">
      <c r="A18" s="215" t="s">
        <v>505</v>
      </c>
      <c r="B18" s="216" t="str">
        <f t="shared" si="0"/>
        <v>DE_DZB</v>
      </c>
      <c r="C18" s="218" t="s">
        <v>12</v>
      </c>
      <c r="D18" s="216" t="s">
        <v>506</v>
      </c>
    </row>
    <row r="19" spans="1:4">
      <c r="A19" s="215" t="s">
        <v>466</v>
      </c>
      <c r="B19" s="216" t="str">
        <f t="shared" si="0"/>
        <v>AT_ERS</v>
      </c>
      <c r="C19" s="218" t="s">
        <v>467</v>
      </c>
      <c r="D19" s="216" t="s">
        <v>468</v>
      </c>
    </row>
    <row r="20" spans="1:4">
      <c r="A20" s="215" t="s">
        <v>469</v>
      </c>
      <c r="B20" s="216" t="str">
        <f t="shared" si="0"/>
        <v>SE_HAN</v>
      </c>
      <c r="C20" s="218" t="s">
        <v>20</v>
      </c>
      <c r="D20" s="216" t="s">
        <v>470</v>
      </c>
    </row>
    <row r="21" spans="1:4">
      <c r="A21" s="215" t="s">
        <v>507</v>
      </c>
      <c r="B21" s="216" t="str">
        <f t="shared" si="0"/>
        <v>DE_HLB</v>
      </c>
      <c r="C21" s="216" t="s">
        <v>12</v>
      </c>
      <c r="D21" s="216" t="s">
        <v>508</v>
      </c>
    </row>
    <row r="22" spans="1:4">
      <c r="A22" s="215" t="s">
        <v>471</v>
      </c>
      <c r="B22" s="216" t="str">
        <f t="shared" si="0"/>
        <v>UK_HSB</v>
      </c>
      <c r="C22" s="218" t="s">
        <v>451</v>
      </c>
      <c r="D22" s="216" t="s">
        <v>472</v>
      </c>
    </row>
    <row r="23" spans="1:4">
      <c r="A23" s="215" t="s">
        <v>473</v>
      </c>
      <c r="B23" s="216" t="str">
        <f t="shared" si="0"/>
        <v>NL_ING</v>
      </c>
      <c r="C23" s="218" t="s">
        <v>18</v>
      </c>
      <c r="D23" s="216" t="s">
        <v>473</v>
      </c>
    </row>
    <row r="24" spans="1:4">
      <c r="A24" s="215" t="s">
        <v>474</v>
      </c>
      <c r="B24" s="216" t="str">
        <f t="shared" si="0"/>
        <v>IT_INT</v>
      </c>
      <c r="C24" s="218" t="s">
        <v>17</v>
      </c>
      <c r="D24" s="216" t="s">
        <v>475</v>
      </c>
    </row>
    <row r="25" spans="1:4">
      <c r="A25" s="215" t="s">
        <v>476</v>
      </c>
      <c r="B25" s="216" t="str">
        <f t="shared" si="0"/>
        <v>BE_KBC</v>
      </c>
      <c r="C25" s="218" t="s">
        <v>11</v>
      </c>
      <c r="D25" s="216" t="s">
        <v>476</v>
      </c>
    </row>
    <row r="26" spans="1:4">
      <c r="A26" s="215" t="s">
        <v>477</v>
      </c>
      <c r="B26" s="216" t="str">
        <f t="shared" si="0"/>
        <v>ES_CAI</v>
      </c>
      <c r="C26" s="218" t="s">
        <v>14</v>
      </c>
      <c r="D26" s="216" t="s">
        <v>478</v>
      </c>
    </row>
    <row r="27" spans="1:4">
      <c r="A27" s="215" t="s">
        <v>509</v>
      </c>
      <c r="B27" s="216" t="str">
        <f t="shared" si="0"/>
        <v>DE_LBW</v>
      </c>
      <c r="C27" s="216" t="s">
        <v>12</v>
      </c>
      <c r="D27" s="216" t="s">
        <v>510</v>
      </c>
    </row>
    <row r="28" spans="1:4">
      <c r="A28" s="215" t="s">
        <v>479</v>
      </c>
      <c r="B28" s="216" t="str">
        <f t="shared" si="0"/>
        <v>UK_LOY</v>
      </c>
      <c r="C28" s="218" t="s">
        <v>451</v>
      </c>
      <c r="D28" s="216" t="s">
        <v>480</v>
      </c>
    </row>
    <row r="29" spans="1:4">
      <c r="A29" s="215" t="s">
        <v>481</v>
      </c>
      <c r="B29" s="216" t="str">
        <f t="shared" si="0"/>
        <v>UK_NAT</v>
      </c>
      <c r="C29" s="218" t="s">
        <v>451</v>
      </c>
      <c r="D29" s="216" t="s">
        <v>482</v>
      </c>
    </row>
    <row r="30" spans="1:4">
      <c r="A30" s="215" t="s">
        <v>483</v>
      </c>
      <c r="B30" s="216" t="str">
        <f t="shared" si="0"/>
        <v>SE_NOR</v>
      </c>
      <c r="C30" s="218" t="s">
        <v>20</v>
      </c>
      <c r="D30" s="216" t="s">
        <v>484</v>
      </c>
    </row>
    <row r="31" spans="1:4">
      <c r="A31" s="215" t="s">
        <v>511</v>
      </c>
      <c r="B31" s="216" t="str">
        <f t="shared" si="0"/>
        <v>DE_NLB</v>
      </c>
      <c r="C31" s="216" t="s">
        <v>12</v>
      </c>
      <c r="D31" s="216" t="s">
        <v>512</v>
      </c>
    </row>
    <row r="32" spans="1:4">
      <c r="A32" s="215" t="s">
        <v>485</v>
      </c>
      <c r="B32" s="216" t="str">
        <f t="shared" si="0"/>
        <v>NL_RAB</v>
      </c>
      <c r="C32" s="218" t="s">
        <v>18</v>
      </c>
      <c r="D32" s="216" t="s">
        <v>486</v>
      </c>
    </row>
    <row r="33" spans="1:4">
      <c r="A33" s="215" t="s">
        <v>487</v>
      </c>
      <c r="B33" s="216" t="str">
        <f t="shared" si="0"/>
        <v>UK_RBS</v>
      </c>
      <c r="C33" s="218" t="s">
        <v>451</v>
      </c>
      <c r="D33" s="216" t="s">
        <v>487</v>
      </c>
    </row>
    <row r="34" spans="1:4">
      <c r="A34" s="215" t="s">
        <v>488</v>
      </c>
      <c r="B34" s="216" t="str">
        <f t="shared" si="0"/>
        <v>ES_SAN</v>
      </c>
      <c r="C34" s="218" t="s">
        <v>14</v>
      </c>
      <c r="D34" s="216" t="s">
        <v>489</v>
      </c>
    </row>
    <row r="35" spans="1:4">
      <c r="A35" s="215" t="s">
        <v>490</v>
      </c>
      <c r="B35" s="216" t="str">
        <f t="shared" si="0"/>
        <v>SE_SEB</v>
      </c>
      <c r="C35" s="218" t="s">
        <v>20</v>
      </c>
      <c r="D35" s="216" t="s">
        <v>490</v>
      </c>
    </row>
    <row r="36" spans="1:4">
      <c r="A36" s="215" t="s">
        <v>491</v>
      </c>
      <c r="B36" s="216" t="str">
        <f t="shared" si="0"/>
        <v>FR_SOC</v>
      </c>
      <c r="C36" s="218" t="s">
        <v>15</v>
      </c>
      <c r="D36" s="216" t="s">
        <v>492</v>
      </c>
    </row>
    <row r="37" spans="1:4">
      <c r="A37" s="215" t="s">
        <v>493</v>
      </c>
      <c r="B37" s="216" t="str">
        <f t="shared" si="0"/>
        <v>UK_STC</v>
      </c>
      <c r="C37" s="218" t="s">
        <v>451</v>
      </c>
      <c r="D37" s="216" t="s">
        <v>494</v>
      </c>
    </row>
    <row r="38" spans="1:4">
      <c r="A38" s="215" t="s">
        <v>495</v>
      </c>
      <c r="B38" s="216" t="str">
        <f t="shared" si="0"/>
        <v>SE_SWE</v>
      </c>
      <c r="C38" s="218" t="s">
        <v>20</v>
      </c>
      <c r="D38" s="216" t="s">
        <v>496</v>
      </c>
    </row>
    <row r="39" spans="1:4">
      <c r="A39" s="215" t="s">
        <v>497</v>
      </c>
      <c r="B39" s="216" t="str">
        <f t="shared" si="0"/>
        <v>IT_UNI</v>
      </c>
      <c r="C39" s="218" t="s">
        <v>17</v>
      </c>
      <c r="D39" s="216" t="s">
        <v>498</v>
      </c>
    </row>
    <row r="40" spans="1:4"/>
  </sheetData>
  <sheetProtection password="D63A" sheet="1" objects="1" scenarios="1"/>
  <sortState ref="A3:D39">
    <sortCondition ref="A3:A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Bank Template Tool - 2014</vt:lpstr>
      <vt:lpstr>Summary - 2014</vt:lpstr>
      <vt:lpstr>Summary - 2013</vt:lpstr>
      <vt:lpstr>Charts</vt:lpstr>
      <vt:lpstr>Charts - 2yr</vt:lpstr>
      <vt:lpstr>Data</vt:lpstr>
      <vt:lpstr>aux - template </vt:lpstr>
      <vt:lpstr>aux - sample</vt:lpstr>
      <vt:lpstr>'Bank Template Tool - 2014'!_ftnref1</vt:lpstr>
      <vt:lpstr>Bankname</vt:lpstr>
      <vt:lpstr>PanelHeaders1</vt:lpstr>
      <vt:lpstr>'Bank Template Tool - 2014'!Print_Area</vt:lpstr>
      <vt:lpstr>Charts!Print_Area</vt:lpstr>
      <vt:lpstr>'Charts - 2yr'!Print_Area</vt:lpstr>
      <vt:lpstr>'Bank Template Tool - 2014'!Print_Titles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Garcia</dc:creator>
  <cp:lastModifiedBy>EBA</cp:lastModifiedBy>
  <cp:lastPrinted>2015-07-28T10:11:29Z</cp:lastPrinted>
  <dcterms:created xsi:type="dcterms:W3CDTF">2015-07-27T16:50:27Z</dcterms:created>
  <dcterms:modified xsi:type="dcterms:W3CDTF">2015-11-04T11:14:44Z</dcterms:modified>
</cp:coreProperties>
</file>